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55" windowHeight="6285" activeTab="0"/>
  </bookViews>
  <sheets>
    <sheet name="Costo ISR" sheetId="1" r:id="rId1"/>
    <sheet name="IMSS" sheetId="2" r:id="rId2"/>
    <sheet name="Costo-Imss-Infonavit" sheetId="3" r:id="rId3"/>
  </sheets>
  <definedNames>
    <definedName name="_xlnm.Print_Area" localSheetId="2">'Costo-Imss-Infonavit'!$C$1:$AE$13</definedName>
    <definedName name="SemIsr">'Costo ISR'!$B$9:$E$16</definedName>
    <definedName name="SemSubsEmpleo">'Costo ISR'!$B$22:$D$32</definedName>
    <definedName name="_xlnm.Print_Titles" localSheetId="2">'Costo-Imss-Infonavit'!$1:$10</definedName>
  </definedNames>
  <calcPr fullCalcOnLoad="1"/>
</workbook>
</file>

<file path=xl/sharedStrings.xml><?xml version="1.0" encoding="utf-8"?>
<sst xmlns="http://schemas.openxmlformats.org/spreadsheetml/2006/main" count="202" uniqueCount="152">
  <si>
    <t>IMSS</t>
  </si>
  <si>
    <t>SMGDF</t>
  </si>
  <si>
    <t>3 SMGDF</t>
  </si>
  <si>
    <t>S.A.R.</t>
  </si>
  <si>
    <t>INFONAVIT</t>
  </si>
  <si>
    <t>RFC O CURP</t>
  </si>
  <si>
    <t>IMPORTE  DE  EXCEDENTE  A   3  SMGDF</t>
  </si>
  <si>
    <t>RIESGO DE TRABAJO</t>
  </si>
  <si>
    <t>ENFERMEDADES  Y  MATERNIDAD</t>
  </si>
  <si>
    <t xml:space="preserve">                                          GASTOS MEDICOS PENSIONADOS</t>
  </si>
  <si>
    <t>INVALIDEZ  Y  VIDA</t>
  </si>
  <si>
    <t>GUARDERIAS Y PREST. SOCIALES</t>
  </si>
  <si>
    <t>RETIRO</t>
  </si>
  <si>
    <t>CESANTIA Y VEJEZ</t>
  </si>
  <si>
    <t>SM</t>
  </si>
  <si>
    <t>TRAB.</t>
  </si>
  <si>
    <t>DIAS LAB.</t>
  </si>
  <si>
    <t>TRABAJADOR</t>
  </si>
  <si>
    <t>RIESGO CALIF.</t>
  </si>
  <si>
    <t>CUOTA FIJA</t>
  </si>
  <si>
    <t>EXCEDENTE</t>
  </si>
  <si>
    <t>PREST. EN DINERO</t>
  </si>
  <si>
    <t>DE SMG</t>
  </si>
  <si>
    <t>REALES</t>
  </si>
  <si>
    <t>PENSIONADO</t>
  </si>
  <si>
    <t>PATRÓN</t>
  </si>
  <si>
    <t>TRABAJ.</t>
  </si>
  <si>
    <t>PATRON</t>
  </si>
  <si>
    <t>NUMERO IMSS</t>
  </si>
  <si>
    <t>NOMBRE DEL EMPLEADO</t>
  </si>
  <si>
    <t>ZONA</t>
  </si>
  <si>
    <t>AUSENT.</t>
  </si>
  <si>
    <t>INCAP.</t>
  </si>
  <si>
    <t>SAL. INTEG.</t>
  </si>
  <si>
    <t>MINIMO?</t>
  </si>
  <si>
    <t>DIAS COTIZ.</t>
  </si>
  <si>
    <t>TIPO</t>
  </si>
  <si>
    <t>RCV</t>
  </si>
  <si>
    <t>C</t>
  </si>
  <si>
    <t>Costo IMSS-Sar-Infonavit</t>
  </si>
  <si>
    <t>Obrero-Patronal</t>
  </si>
  <si>
    <t>AREA</t>
  </si>
  <si>
    <t>EXCE. 3 SM</t>
  </si>
  <si>
    <t>S.M.G. DF</t>
  </si>
  <si>
    <t>Datos a modificar anualmente</t>
  </si>
  <si>
    <t>Datos a modificar semestralmente hasta llegar al tope de 25 SMGDF</t>
  </si>
  <si>
    <t>TOTAL IMSS</t>
  </si>
  <si>
    <t>SAR-INFONAVIT</t>
  </si>
  <si>
    <t>Jul 2006 a Jun 2007</t>
  </si>
  <si>
    <t>Jul 2007 a Jun 2008</t>
  </si>
  <si>
    <t>Artículo 113</t>
  </si>
  <si>
    <t>TABLA SEMANAL DE ISR</t>
  </si>
  <si>
    <t>Cálculo de ISR</t>
  </si>
  <si>
    <t>Semanal</t>
  </si>
  <si>
    <t>Salario mínimo área "C"</t>
  </si>
  <si>
    <t>Salario mínimo área "A"</t>
  </si>
  <si>
    <t>Empleado</t>
  </si>
  <si>
    <t>ARTICULO 113</t>
  </si>
  <si>
    <t>Limite</t>
  </si>
  <si>
    <t>Cuota Fija</t>
  </si>
  <si>
    <t>% Sobre Limite</t>
  </si>
  <si>
    <t>Percepciones semanales</t>
  </si>
  <si>
    <t>Renglon</t>
  </si>
  <si>
    <t>Inferior</t>
  </si>
  <si>
    <t>Superior</t>
  </si>
  <si>
    <t>M.N</t>
  </si>
  <si>
    <t xml:space="preserve">  Inferior</t>
  </si>
  <si>
    <t>Sueldo</t>
  </si>
  <si>
    <t>Séptimo día</t>
  </si>
  <si>
    <t>Incentivo</t>
  </si>
  <si>
    <t>Compensación</t>
  </si>
  <si>
    <t>Premio de asistencia</t>
  </si>
  <si>
    <t>Premio de puntualidad</t>
  </si>
  <si>
    <t>Horas extras dobles</t>
  </si>
  <si>
    <t>Horas extras triples</t>
  </si>
  <si>
    <t>Despensa</t>
  </si>
  <si>
    <t>Total de percepciones semanales</t>
  </si>
  <si>
    <t>Artículo Octavo</t>
  </si>
  <si>
    <t>Subsidio al Empleo</t>
  </si>
  <si>
    <t>Partes exentas</t>
  </si>
  <si>
    <t>Para</t>
  </si>
  <si>
    <t>Hasta</t>
  </si>
  <si>
    <t>Subsidio para el</t>
  </si>
  <si>
    <t>prima dominical</t>
  </si>
  <si>
    <t xml:space="preserve">  Renglon</t>
  </si>
  <si>
    <t>Ingresos de:</t>
  </si>
  <si>
    <t>Empleo mensual</t>
  </si>
  <si>
    <t>Días festivos</t>
  </si>
  <si>
    <t>Prima vacacional</t>
  </si>
  <si>
    <t>Total partes exentas</t>
  </si>
  <si>
    <t>Total base gravada semanal</t>
  </si>
  <si>
    <t>Cálculo del ISR Art. 113 LISR</t>
  </si>
  <si>
    <t>Base gravada</t>
  </si>
  <si>
    <t>Menos límite  inferior</t>
  </si>
  <si>
    <t>Impuesto marginal</t>
  </si>
  <si>
    <t>Porcentaje sobre Impuesto marginal</t>
  </si>
  <si>
    <t>Excedente por porcentaje</t>
  </si>
  <si>
    <t>Más cuota fija</t>
  </si>
  <si>
    <t>Total de ISR Art. 113 LISR</t>
  </si>
  <si>
    <t>Cálculo de subsidio para el empleo Art. Octavo</t>
  </si>
  <si>
    <t>Subsidio para el empleo correspondiente</t>
  </si>
  <si>
    <t>Sueldo Bruto</t>
  </si>
  <si>
    <t>Retención ISR</t>
  </si>
  <si>
    <t>Retención IMSS</t>
  </si>
  <si>
    <t>Infonavit</t>
  </si>
  <si>
    <t>Fonacot</t>
  </si>
  <si>
    <t>Neto a pagar</t>
  </si>
  <si>
    <t>Factor de integración</t>
  </si>
  <si>
    <t>Caso 1</t>
  </si>
  <si>
    <t>TOTAL IMSS SAR E INFONAVIT</t>
  </si>
  <si>
    <t>Patrón</t>
  </si>
  <si>
    <r>
      <t xml:space="preserve"> ISR a retener </t>
    </r>
    <r>
      <rPr>
        <b/>
        <sz val="8"/>
        <color indexed="10"/>
        <rFont val="Arial"/>
        <family val="2"/>
      </rPr>
      <t>(a favor)</t>
    </r>
    <r>
      <rPr>
        <b/>
        <sz val="8"/>
        <rFont val="Arial"/>
        <family val="2"/>
      </rPr>
      <t xml:space="preserve"> según cálculo</t>
    </r>
  </si>
  <si>
    <t>Cálculo de Retenciones de Cuotas IMSS a los trabajadores</t>
  </si>
  <si>
    <t>No.</t>
  </si>
  <si>
    <t>Trabajador</t>
  </si>
  <si>
    <t>Salario</t>
  </si>
  <si>
    <t>Días</t>
  </si>
  <si>
    <t>% Ramos</t>
  </si>
  <si>
    <t>Retención</t>
  </si>
  <si>
    <t>Cuota trabaja-</t>
  </si>
  <si>
    <t>Diario</t>
  </si>
  <si>
    <t>Laborados</t>
  </si>
  <si>
    <t>Percibido</t>
  </si>
  <si>
    <t>s/Excedente</t>
  </si>
  <si>
    <t>dor a retener</t>
  </si>
  <si>
    <t>Total</t>
  </si>
  <si>
    <t>Ramos del Seguro Social e Infonavit</t>
  </si>
  <si>
    <t>Enfermedades y Maternidad en dinero</t>
  </si>
  <si>
    <t>0.40% Sobre excedente entre SBC-3SMG</t>
  </si>
  <si>
    <t>Enfermedades y Maternidad en especie</t>
  </si>
  <si>
    <t>Invalidez y Vida</t>
  </si>
  <si>
    <t>Retiro, Cesantía y Vejez</t>
  </si>
  <si>
    <t>No. Días</t>
  </si>
  <si>
    <t>Total Perc.</t>
  </si>
  <si>
    <t>Exención SMG</t>
  </si>
  <si>
    <t>Total Exención</t>
  </si>
  <si>
    <t>SM Integrado</t>
  </si>
  <si>
    <t>Salario Mínimo General D.F.</t>
  </si>
  <si>
    <t>Salario Mínimo General Área "C"</t>
  </si>
  <si>
    <t>Caso 2</t>
  </si>
  <si>
    <t>Caso 3</t>
  </si>
  <si>
    <t>Año 2013</t>
  </si>
  <si>
    <t>Ejercicio 2013</t>
  </si>
  <si>
    <t>Caso 4</t>
  </si>
  <si>
    <t>Costo por persona con salario de $70 diarios</t>
  </si>
  <si>
    <t>Suma</t>
  </si>
  <si>
    <t>Costo por persona con salario de $80 diarios</t>
  </si>
  <si>
    <t>1 Mes IMSS</t>
  </si>
  <si>
    <t>Otro Mes IMSS, Retiro, Infonavit</t>
  </si>
  <si>
    <t>Costo por persona con salario de $90 diarios</t>
  </si>
  <si>
    <t>Costo por persona con salario de $100 diarios</t>
  </si>
  <si>
    <t>ISN 2%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</si>
</sst>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#,##0.00;[Red]\(#,##0.00\)"/>
    <numFmt numFmtId="171" formatCode="0_)"/>
    <numFmt numFmtId="172" formatCode="0.0000"/>
    <numFmt numFmtId="173" formatCode="&quot;$&quot;#,##0.00"/>
    <numFmt numFmtId="174" formatCode="0.0000%"/>
    <numFmt numFmtId="175" formatCode="#,##0.0000_);\(#,##0.0000\)"/>
    <numFmt numFmtId="176" formatCode="#,##0.00000_);\(#,##0.00000\)"/>
    <numFmt numFmtId="177" formatCode="#,##0.000_);\(#,##0.000\)"/>
    <numFmt numFmtId="178" formatCode="#,##0.0_);\(#,##0.0\)"/>
    <numFmt numFmtId="179" formatCode="0.000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_);_(* \(#,##0.0\);_(* &quot;-&quot;??_);_(@_)"/>
    <numFmt numFmtId="184" formatCode="_(* #,##0_);_(* \(#,##0\);_(* &quot;-&quot;??_);_(@_)"/>
    <numFmt numFmtId="185" formatCode="0.00000%"/>
    <numFmt numFmtId="186" formatCode="dd/mm/yyyy;@"/>
    <numFmt numFmtId="187" formatCode="_(&quot;$&quot;* #,##0.0000_);_(&quot;$&quot;* \(#,##0.0000\);_(&quot;$&quot;* &quot;-&quot;????_);_(@_)"/>
    <numFmt numFmtId="188" formatCode="#,##0.0000_);[Red]\(#,##0.0000\)"/>
  </numFmts>
  <fonts count="50">
    <font>
      <sz val="8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8"/>
      <color indexed="12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7"/>
      <name val="Arial"/>
      <family val="2"/>
    </font>
    <font>
      <sz val="7"/>
      <color indexed="12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39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71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vertical="justify"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33" borderId="11" xfId="0" applyFont="1" applyFill="1" applyBorder="1" applyAlignment="1" applyProtection="1">
      <alignment horizontal="center" vertical="justify"/>
      <protection hidden="1"/>
    </xf>
    <xf numFmtId="0" fontId="3" fillId="33" borderId="11" xfId="0" applyFont="1" applyFill="1" applyBorder="1" applyAlignment="1" applyProtection="1">
      <alignment horizontal="center" vertical="center"/>
      <protection hidden="1"/>
    </xf>
    <xf numFmtId="0" fontId="3" fillId="33" borderId="12" xfId="0" applyFont="1" applyFill="1" applyBorder="1" applyAlignment="1" applyProtection="1">
      <alignment horizontal="center" vertical="center"/>
      <protection hidden="1"/>
    </xf>
    <xf numFmtId="0" fontId="3" fillId="33" borderId="13" xfId="0" applyFont="1" applyFill="1" applyBorder="1" applyAlignment="1" applyProtection="1">
      <alignment vertical="justify"/>
      <protection hidden="1"/>
    </xf>
    <xf numFmtId="0" fontId="3" fillId="33" borderId="12" xfId="0" applyFont="1" applyFill="1" applyBorder="1" applyAlignment="1" applyProtection="1">
      <alignment horizontal="center" vertical="justify"/>
      <protection hidden="1"/>
    </xf>
    <xf numFmtId="0" fontId="3" fillId="33" borderId="12" xfId="0" applyFont="1" applyFill="1" applyBorder="1" applyAlignment="1" applyProtection="1">
      <alignment vertical="justify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horizontal="center" vertical="justify"/>
      <protection hidden="1"/>
    </xf>
    <xf numFmtId="0" fontId="3" fillId="33" borderId="14" xfId="0" applyFont="1" applyFill="1" applyBorder="1" applyAlignment="1" applyProtection="1">
      <alignment horizontal="center" vertical="center"/>
      <protection hidden="1"/>
    </xf>
    <xf numFmtId="0" fontId="3" fillId="33" borderId="15" xfId="0" applyFont="1" applyFill="1" applyBorder="1" applyAlignment="1" applyProtection="1">
      <alignment vertical="justify"/>
      <protection hidden="1"/>
    </xf>
    <xf numFmtId="0" fontId="3" fillId="33" borderId="13" xfId="0" applyFont="1" applyFill="1" applyBorder="1" applyAlignment="1" applyProtection="1">
      <alignment horizontal="center"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9" fontId="3" fillId="33" borderId="13" xfId="55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186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left" indent="1"/>
      <protection locked="0"/>
    </xf>
    <xf numFmtId="0" fontId="4" fillId="0" borderId="0" xfId="0" applyFont="1" applyFill="1" applyBorder="1" applyAlignment="1" applyProtection="1">
      <alignment horizontal="left" indent="1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17" xfId="0" applyNumberFormat="1" applyFont="1" applyFill="1" applyBorder="1" applyAlignment="1" applyProtection="1">
      <alignment/>
      <protection hidden="1"/>
    </xf>
    <xf numFmtId="4" fontId="4" fillId="0" borderId="0" xfId="0" applyNumberFormat="1" applyFont="1" applyFill="1" applyBorder="1" applyAlignment="1" applyProtection="1">
      <alignment/>
      <protection hidden="1"/>
    </xf>
    <xf numFmtId="4" fontId="4" fillId="0" borderId="10" xfId="0" applyNumberFormat="1" applyFont="1" applyFill="1" applyBorder="1" applyAlignment="1" applyProtection="1">
      <alignment/>
      <protection hidden="1"/>
    </xf>
    <xf numFmtId="4" fontId="4" fillId="0" borderId="18" xfId="0" applyNumberFormat="1" applyFont="1" applyFill="1" applyBorder="1" applyAlignment="1" applyProtection="1">
      <alignment/>
      <protection hidden="1"/>
    </xf>
    <xf numFmtId="0" fontId="4" fillId="0" borderId="19" xfId="0" applyFont="1" applyFill="1" applyBorder="1" applyAlignment="1" applyProtection="1">
      <alignment horizontal="left" indent="1"/>
      <protection locked="0"/>
    </xf>
    <xf numFmtId="4" fontId="4" fillId="0" borderId="15" xfId="0" applyNumberFormat="1" applyFont="1" applyFill="1" applyBorder="1" applyAlignment="1" applyProtection="1">
      <alignment/>
      <protection hidden="1"/>
    </xf>
    <xf numFmtId="4" fontId="4" fillId="0" borderId="12" xfId="0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3" fillId="0" borderId="20" xfId="0" applyFont="1" applyFill="1" applyBorder="1" applyAlignment="1" applyProtection="1">
      <alignment/>
      <protection hidden="1"/>
    </xf>
    <xf numFmtId="0" fontId="3" fillId="0" borderId="20" xfId="0" applyFont="1" applyFill="1" applyBorder="1" applyAlignment="1" applyProtection="1">
      <alignment horizontal="center"/>
      <protection hidden="1"/>
    </xf>
    <xf numFmtId="39" fontId="3" fillId="34" borderId="13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hidden="1"/>
    </xf>
    <xf numFmtId="44" fontId="3" fillId="0" borderId="13" xfId="0" applyNumberFormat="1" applyFont="1" applyFill="1" applyBorder="1" applyAlignment="1" applyProtection="1">
      <alignment horizontal="center"/>
      <protection hidden="1"/>
    </xf>
    <xf numFmtId="4" fontId="3" fillId="0" borderId="13" xfId="0" applyNumberFormat="1" applyFont="1" applyFill="1" applyBorder="1" applyAlignment="1" applyProtection="1">
      <alignment/>
      <protection hidden="1"/>
    </xf>
    <xf numFmtId="4" fontId="3" fillId="0" borderId="13" xfId="0" applyNumberFormat="1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39" fontId="3" fillId="0" borderId="12" xfId="0" applyNumberFormat="1" applyFont="1" applyFill="1" applyBorder="1" applyAlignment="1" applyProtection="1">
      <alignment horizontal="center"/>
      <protection hidden="1"/>
    </xf>
    <xf numFmtId="4" fontId="3" fillId="0" borderId="14" xfId="0" applyNumberFormat="1" applyFont="1" applyFill="1" applyBorder="1" applyAlignment="1" applyProtection="1">
      <alignment/>
      <protection hidden="1"/>
    </xf>
    <xf numFmtId="44" fontId="3" fillId="34" borderId="13" xfId="50" applyFont="1" applyFill="1" applyBorder="1" applyAlignment="1" applyProtection="1">
      <alignment/>
      <protection hidden="1"/>
    </xf>
    <xf numFmtId="39" fontId="3" fillId="0" borderId="19" xfId="0" applyNumberFormat="1" applyFont="1" applyFill="1" applyBorder="1" applyAlignment="1" applyProtection="1">
      <alignment horizontal="center"/>
      <protection hidden="1"/>
    </xf>
    <xf numFmtId="4" fontId="3" fillId="0" borderId="11" xfId="0" applyNumberFormat="1" applyFont="1" applyFill="1" applyBorder="1" applyAlignment="1" applyProtection="1">
      <alignment/>
      <protection hidden="1"/>
    </xf>
    <xf numFmtId="39" fontId="3" fillId="0" borderId="15" xfId="0" applyNumberFormat="1" applyFont="1" applyFill="1" applyBorder="1" applyAlignment="1" applyProtection="1">
      <alignment horizontal="center"/>
      <protection hidden="1"/>
    </xf>
    <xf numFmtId="4" fontId="3" fillId="0" borderId="21" xfId="0" applyNumberFormat="1" applyFont="1" applyFill="1" applyBorder="1" applyAlignment="1" applyProtection="1">
      <alignment/>
      <protection hidden="1"/>
    </xf>
    <xf numFmtId="0" fontId="4" fillId="0" borderId="15" xfId="0" applyFont="1" applyFill="1" applyBorder="1" applyAlignment="1" applyProtection="1">
      <alignment/>
      <protection hidden="1"/>
    </xf>
    <xf numFmtId="0" fontId="3" fillId="0" borderId="21" xfId="0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20" xfId="0" applyFont="1" applyFill="1" applyBorder="1" applyAlignment="1" applyProtection="1">
      <alignment/>
      <protection hidden="1"/>
    </xf>
    <xf numFmtId="0" fontId="4" fillId="33" borderId="22" xfId="0" applyFont="1" applyFill="1" applyBorder="1" applyAlignment="1" applyProtection="1">
      <alignment/>
      <protection hidden="1"/>
    </xf>
    <xf numFmtId="0" fontId="4" fillId="33" borderId="23" xfId="0" applyFont="1" applyFill="1" applyBorder="1" applyAlignment="1" applyProtection="1">
      <alignment/>
      <protection hidden="1"/>
    </xf>
    <xf numFmtId="174" fontId="3" fillId="33" borderId="13" xfId="55" applyNumberFormat="1" applyFont="1" applyFill="1" applyBorder="1" applyAlignment="1" applyProtection="1">
      <alignment horizontal="center"/>
      <protection hidden="1"/>
    </xf>
    <xf numFmtId="4" fontId="4" fillId="34" borderId="0" xfId="0" applyNumberFormat="1" applyFont="1" applyFill="1" applyBorder="1" applyAlignment="1" applyProtection="1">
      <alignment/>
      <protection locked="0"/>
    </xf>
    <xf numFmtId="39" fontId="3" fillId="34" borderId="0" xfId="0" applyNumberFormat="1" applyFont="1" applyFill="1" applyAlignment="1" applyProtection="1">
      <alignment/>
      <protection locked="0"/>
    </xf>
    <xf numFmtId="0" fontId="4" fillId="34" borderId="0" xfId="0" applyFont="1" applyFill="1" applyAlignment="1" applyProtection="1">
      <alignment/>
      <protection locked="0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174" fontId="3" fillId="34" borderId="13" xfId="55" applyNumberFormat="1" applyFont="1" applyFill="1" applyBorder="1" applyAlignment="1" applyProtection="1">
      <alignment horizontal="center"/>
      <protection hidden="1"/>
    </xf>
    <xf numFmtId="1" fontId="4" fillId="34" borderId="0" xfId="0" applyNumberFormat="1" applyFont="1" applyFill="1" applyBorder="1" applyAlignment="1" applyProtection="1">
      <alignment horizontal="center"/>
      <protection locked="0"/>
    </xf>
    <xf numFmtId="0" fontId="3" fillId="35" borderId="13" xfId="0" applyFont="1" applyFill="1" applyBorder="1" applyAlignment="1" applyProtection="1">
      <alignment horizontal="center"/>
      <protection hidden="1"/>
    </xf>
    <xf numFmtId="0" fontId="4" fillId="34" borderId="13" xfId="0" applyFont="1" applyFill="1" applyBorder="1" applyAlignment="1" applyProtection="1">
      <alignment/>
      <protection locked="0"/>
    </xf>
    <xf numFmtId="0" fontId="4" fillId="35" borderId="13" xfId="0" applyFont="1" applyFill="1" applyBorder="1" applyAlignment="1" applyProtection="1">
      <alignment/>
      <protection locked="0"/>
    </xf>
    <xf numFmtId="0" fontId="6" fillId="33" borderId="13" xfId="0" applyFont="1" applyFill="1" applyBorder="1" applyAlignment="1" applyProtection="1">
      <alignment horizontal="center" vertical="center"/>
      <protection hidden="1"/>
    </xf>
    <xf numFmtId="0" fontId="7" fillId="33" borderId="10" xfId="0" applyFont="1" applyFill="1" applyBorder="1" applyAlignment="1" applyProtection="1">
      <alignment horizontal="center" vertical="justify"/>
      <protection hidden="1"/>
    </xf>
    <xf numFmtId="0" fontId="7" fillId="33" borderId="14" xfId="0" applyFont="1" applyFill="1" applyBorder="1" applyAlignment="1" applyProtection="1">
      <alignment horizontal="center" vertical="justify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4" fontId="7" fillId="0" borderId="0" xfId="0" applyNumberFormat="1" applyFont="1" applyFill="1" applyBorder="1" applyAlignment="1" applyProtection="1">
      <alignment/>
      <protection hidden="1"/>
    </xf>
    <xf numFmtId="4" fontId="7" fillId="0" borderId="15" xfId="0" applyNumberFormat="1" applyFont="1" applyFill="1" applyBorder="1" applyAlignment="1" applyProtection="1">
      <alignment/>
      <protection hidden="1"/>
    </xf>
    <xf numFmtId="0" fontId="7" fillId="33" borderId="13" xfId="0" applyFont="1" applyFill="1" applyBorder="1" applyAlignment="1" applyProtection="1">
      <alignment horizontal="center" vertical="center"/>
      <protection hidden="1"/>
    </xf>
    <xf numFmtId="185" fontId="3" fillId="36" borderId="13" xfId="55" applyNumberFormat="1" applyFont="1" applyFill="1" applyBorder="1" applyAlignment="1" applyProtection="1">
      <alignment horizontal="center"/>
      <protection hidden="1"/>
    </xf>
    <xf numFmtId="4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4" fontId="3" fillId="0" borderId="15" xfId="0" applyNumberFormat="1" applyFont="1" applyFill="1" applyBorder="1" applyAlignment="1" applyProtection="1">
      <alignment/>
      <protection hidden="1"/>
    </xf>
    <xf numFmtId="39" fontId="0" fillId="37" borderId="0" xfId="53" applyFont="1" applyFill="1" applyAlignment="1">
      <alignment horizontal="center"/>
      <protection/>
    </xf>
    <xf numFmtId="170" fontId="0" fillId="37" borderId="0" xfId="53" applyNumberFormat="1" applyFont="1" applyFill="1" applyAlignment="1">
      <alignment horizontal="center"/>
      <protection/>
    </xf>
    <xf numFmtId="170" fontId="5" fillId="37" borderId="0" xfId="53" applyNumberFormat="1" applyFont="1" applyFill="1" applyAlignment="1" applyProtection="1">
      <alignment horizontal="center"/>
      <protection/>
    </xf>
    <xf numFmtId="39" fontId="0" fillId="37" borderId="0" xfId="53" applyNumberFormat="1" applyFont="1" applyFill="1" applyAlignment="1">
      <alignment horizontal="center"/>
      <protection/>
    </xf>
    <xf numFmtId="39" fontId="0" fillId="0" borderId="0" xfId="53" applyFont="1" applyBorder="1" applyAlignment="1" applyProtection="1">
      <alignment horizontal="left"/>
      <protection/>
    </xf>
    <xf numFmtId="39" fontId="9" fillId="0" borderId="0" xfId="53" applyFont="1">
      <alignment/>
      <protection/>
    </xf>
    <xf numFmtId="39" fontId="0" fillId="37" borderId="0" xfId="53" applyFont="1" applyFill="1">
      <alignment/>
      <protection/>
    </xf>
    <xf numFmtId="170" fontId="0" fillId="37" borderId="0" xfId="53" applyNumberFormat="1" applyFont="1" applyFill="1" applyAlignment="1" applyProtection="1">
      <alignment horizontal="left"/>
      <protection/>
    </xf>
    <xf numFmtId="37" fontId="5" fillId="37" borderId="0" xfId="53" applyNumberFormat="1" applyFont="1" applyFill="1" applyAlignment="1" applyProtection="1">
      <alignment horizontal="center"/>
      <protection/>
    </xf>
    <xf numFmtId="170" fontId="0" fillId="37" borderId="0" xfId="53" applyNumberFormat="1" applyFont="1" applyFill="1">
      <alignment/>
      <protection/>
    </xf>
    <xf numFmtId="39" fontId="0" fillId="37" borderId="0" xfId="53" applyNumberFormat="1" applyFont="1" applyFill="1">
      <alignment/>
      <protection/>
    </xf>
    <xf numFmtId="39" fontId="5" fillId="0" borderId="0" xfId="53" applyFont="1" applyAlignment="1" applyProtection="1">
      <alignment horizontal="left"/>
      <protection/>
    </xf>
    <xf numFmtId="37" fontId="0" fillId="38" borderId="0" xfId="53" applyNumberFormat="1" applyFont="1" applyFill="1" applyAlignment="1">
      <alignment horizontal="center"/>
      <protection/>
    </xf>
    <xf numFmtId="37" fontId="10" fillId="38" borderId="0" xfId="53" applyNumberFormat="1" applyFont="1" applyFill="1" applyAlignment="1" applyProtection="1">
      <alignment horizontal="right"/>
      <protection/>
    </xf>
    <xf numFmtId="0" fontId="10" fillId="38" borderId="0" xfId="53" applyNumberFormat="1" applyFont="1" applyFill="1" applyAlignment="1" applyProtection="1">
      <alignment horizontal="center"/>
      <protection locked="0"/>
    </xf>
    <xf numFmtId="0" fontId="10" fillId="38" borderId="0" xfId="53" applyNumberFormat="1" applyFont="1" applyFill="1" applyAlignment="1">
      <alignment horizontal="left"/>
      <protection/>
    </xf>
    <xf numFmtId="37" fontId="0" fillId="0" borderId="0" xfId="53" applyNumberFormat="1" applyFont="1" applyBorder="1" applyAlignment="1" applyProtection="1">
      <alignment horizontal="center"/>
      <protection/>
    </xf>
    <xf numFmtId="37" fontId="5" fillId="0" borderId="0" xfId="53" applyNumberFormat="1" applyFont="1" applyAlignment="1">
      <alignment horizontal="left"/>
      <protection/>
    </xf>
    <xf numFmtId="37" fontId="0" fillId="0" borderId="0" xfId="53" applyNumberFormat="1" applyFont="1" applyAlignment="1">
      <alignment horizontal="center"/>
      <protection/>
    </xf>
    <xf numFmtId="37" fontId="5" fillId="0" borderId="0" xfId="53" applyNumberFormat="1" applyFont="1" applyAlignment="1">
      <alignment horizontal="right"/>
      <protection/>
    </xf>
    <xf numFmtId="37" fontId="0" fillId="38" borderId="0" xfId="53" applyNumberFormat="1" applyFont="1" applyFill="1" applyAlignment="1" applyProtection="1">
      <alignment horizontal="center"/>
      <protection/>
    </xf>
    <xf numFmtId="170" fontId="10" fillId="38" borderId="0" xfId="53" applyNumberFormat="1" applyFont="1" applyFill="1" applyAlignment="1" applyProtection="1">
      <alignment horizontal="center"/>
      <protection locked="0"/>
    </xf>
    <xf numFmtId="0" fontId="4" fillId="0" borderId="19" xfId="0" applyFont="1" applyBorder="1" applyAlignment="1" applyProtection="1">
      <alignment/>
      <protection hidden="1"/>
    </xf>
    <xf numFmtId="40" fontId="0" fillId="0" borderId="0" xfId="0" applyNumberFormat="1" applyAlignment="1">
      <alignment/>
    </xf>
    <xf numFmtId="39" fontId="5" fillId="33" borderId="10" xfId="0" applyNumberFormat="1" applyFont="1" applyFill="1" applyBorder="1" applyAlignment="1">
      <alignment horizontal="center"/>
    </xf>
    <xf numFmtId="39" fontId="5" fillId="38" borderId="20" xfId="53" applyFont="1" applyFill="1" applyBorder="1">
      <alignment/>
      <protection/>
    </xf>
    <xf numFmtId="170" fontId="11" fillId="38" borderId="20" xfId="53" applyNumberFormat="1" applyFont="1" applyFill="1" applyBorder="1" applyAlignment="1" applyProtection="1">
      <alignment horizontal="center"/>
      <protection/>
    </xf>
    <xf numFmtId="170" fontId="11" fillId="38" borderId="0" xfId="53" applyNumberFormat="1" applyFont="1" applyFill="1" applyAlignment="1" applyProtection="1">
      <alignment horizontal="center"/>
      <protection/>
    </xf>
    <xf numFmtId="39" fontId="11" fillId="38" borderId="0" xfId="53" applyNumberFormat="1" applyFont="1" applyFill="1" applyAlignment="1" applyProtection="1">
      <alignment horizontal="center"/>
      <protection/>
    </xf>
    <xf numFmtId="39" fontId="0" fillId="0" borderId="0" xfId="53" applyFont="1">
      <alignment/>
      <protection/>
    </xf>
    <xf numFmtId="37" fontId="5" fillId="33" borderId="14" xfId="53" applyNumberFormat="1" applyFont="1" applyFill="1" applyBorder="1" applyAlignment="1">
      <alignment horizontal="center"/>
      <protection/>
    </xf>
    <xf numFmtId="39" fontId="0" fillId="38" borderId="0" xfId="53" applyFont="1" applyFill="1" applyAlignment="1">
      <alignment horizontal="center"/>
      <protection/>
    </xf>
    <xf numFmtId="39" fontId="5" fillId="0" borderId="20" xfId="53" applyFont="1" applyBorder="1">
      <alignment/>
      <protection/>
    </xf>
    <xf numFmtId="39" fontId="0" fillId="0" borderId="20" xfId="53" applyFont="1" applyBorder="1">
      <alignment/>
      <protection/>
    </xf>
    <xf numFmtId="17" fontId="0" fillId="0" borderId="20" xfId="53" applyNumberFormat="1" applyFont="1" applyBorder="1" applyAlignment="1" applyProtection="1">
      <alignment horizontal="center"/>
      <protection/>
    </xf>
    <xf numFmtId="39" fontId="11" fillId="38" borderId="20" xfId="53" applyNumberFormat="1" applyFont="1" applyFill="1" applyBorder="1" applyAlignment="1" applyProtection="1">
      <alignment horizontal="center"/>
      <protection/>
    </xf>
    <xf numFmtId="37" fontId="0" fillId="0" borderId="0" xfId="53" applyNumberFormat="1" applyFont="1" applyAlignment="1" applyProtection="1">
      <alignment horizontal="right"/>
      <protection/>
    </xf>
    <xf numFmtId="39" fontId="0" fillId="0" borderId="0" xfId="53" applyFont="1" applyBorder="1">
      <alignment/>
      <protection/>
    </xf>
    <xf numFmtId="39" fontId="0" fillId="0" borderId="0" xfId="53" applyFont="1" applyProtection="1">
      <alignment/>
      <protection/>
    </xf>
    <xf numFmtId="37" fontId="0" fillId="0" borderId="0" xfId="53" applyNumberFormat="1" applyFont="1" applyProtection="1">
      <alignment/>
      <protection/>
    </xf>
    <xf numFmtId="170" fontId="12" fillId="0" borderId="0" xfId="53" applyNumberFormat="1" applyFont="1" applyProtection="1">
      <alignment/>
      <protection/>
    </xf>
    <xf numFmtId="40" fontId="12" fillId="0" borderId="0" xfId="0" applyNumberFormat="1" applyFont="1" applyFill="1" applyAlignment="1">
      <alignment horizontal="right" wrapText="1"/>
    </xf>
    <xf numFmtId="188" fontId="12" fillId="0" borderId="0" xfId="0" applyNumberFormat="1" applyFont="1" applyFill="1" applyAlignment="1">
      <alignment horizontal="right" wrapText="1"/>
    </xf>
    <xf numFmtId="39" fontId="0" fillId="0" borderId="0" xfId="53" applyFont="1" applyAlignment="1" applyProtection="1">
      <alignment horizontal="left"/>
      <protection/>
    </xf>
    <xf numFmtId="38" fontId="0" fillId="0" borderId="0" xfId="0" applyNumberFormat="1" applyAlignment="1">
      <alignment/>
    </xf>
    <xf numFmtId="37" fontId="0" fillId="0" borderId="0" xfId="53" applyNumberFormat="1" applyFont="1" applyAlignment="1">
      <alignment horizontal="right"/>
      <protection/>
    </xf>
    <xf numFmtId="39" fontId="5" fillId="0" borderId="24" xfId="53" applyFont="1" applyBorder="1" applyAlignment="1" applyProtection="1">
      <alignment horizontal="left"/>
      <protection/>
    </xf>
    <xf numFmtId="39" fontId="0" fillId="0" borderId="24" xfId="53" applyFont="1" applyBorder="1" applyAlignment="1" applyProtection="1">
      <alignment horizontal="left"/>
      <protection/>
    </xf>
    <xf numFmtId="39" fontId="0" fillId="0" borderId="24" xfId="53" applyFont="1" applyBorder="1" applyProtection="1">
      <alignment/>
      <protection/>
    </xf>
    <xf numFmtId="39" fontId="5" fillId="0" borderId="0" xfId="53" applyFont="1" applyBorder="1" applyAlignment="1" applyProtection="1">
      <alignment horizontal="left"/>
      <protection/>
    </xf>
    <xf numFmtId="39" fontId="0" fillId="0" borderId="0" xfId="53" applyFont="1" applyBorder="1" applyProtection="1">
      <alignment/>
      <protection/>
    </xf>
    <xf numFmtId="39" fontId="5" fillId="38" borderId="20" xfId="53" applyFont="1" applyFill="1" applyBorder="1" applyAlignment="1" applyProtection="1">
      <alignment horizontal="left"/>
      <protection/>
    </xf>
    <xf numFmtId="170" fontId="13" fillId="38" borderId="20" xfId="53" applyNumberFormat="1" applyFont="1" applyFill="1" applyBorder="1" applyAlignment="1" applyProtection="1">
      <alignment horizontal="center"/>
      <protection/>
    </xf>
    <xf numFmtId="170" fontId="5" fillId="38" borderId="20" xfId="53" applyNumberFormat="1" applyFont="1" applyFill="1" applyBorder="1" applyAlignment="1" applyProtection="1">
      <alignment horizontal="left"/>
      <protection/>
    </xf>
    <xf numFmtId="170" fontId="13" fillId="38" borderId="0" xfId="53" applyNumberFormat="1" applyFont="1" applyFill="1" applyAlignment="1" applyProtection="1">
      <alignment horizontal="center"/>
      <protection/>
    </xf>
    <xf numFmtId="39" fontId="0" fillId="38" borderId="0" xfId="53" applyNumberFormat="1" applyFont="1" applyFill="1">
      <alignment/>
      <protection/>
    </xf>
    <xf numFmtId="39" fontId="5" fillId="0" borderId="20" xfId="53" applyFont="1" applyBorder="1" applyAlignment="1" applyProtection="1">
      <alignment horizontal="left"/>
      <protection/>
    </xf>
    <xf numFmtId="39" fontId="0" fillId="0" borderId="20" xfId="53" applyFont="1" applyBorder="1" applyAlignment="1" applyProtection="1">
      <alignment horizontal="left"/>
      <protection/>
    </xf>
    <xf numFmtId="39" fontId="0" fillId="38" borderId="0" xfId="53" applyFont="1" applyFill="1">
      <alignment/>
      <protection/>
    </xf>
    <xf numFmtId="170" fontId="14" fillId="38" borderId="0" xfId="53" applyNumberFormat="1" applyFont="1" applyFill="1" applyAlignment="1" applyProtection="1">
      <alignment horizontal="center"/>
      <protection locked="0"/>
    </xf>
    <xf numFmtId="39" fontId="12" fillId="38" borderId="0" xfId="53" applyNumberFormat="1" applyFont="1" applyFill="1" applyProtection="1">
      <alignment/>
      <protection locked="0"/>
    </xf>
    <xf numFmtId="39" fontId="11" fillId="38" borderId="20" xfId="53" applyFont="1" applyFill="1" applyBorder="1" applyAlignment="1" applyProtection="1">
      <alignment horizontal="center"/>
      <protection/>
    </xf>
    <xf numFmtId="39" fontId="0" fillId="38" borderId="20" xfId="53" applyNumberFormat="1" applyFont="1" applyFill="1" applyBorder="1">
      <alignment/>
      <protection/>
    </xf>
    <xf numFmtId="170" fontId="12" fillId="0" borderId="0" xfId="53" applyNumberFormat="1" applyFont="1" applyProtection="1">
      <alignment/>
      <protection locked="0"/>
    </xf>
    <xf numFmtId="39" fontId="12" fillId="0" borderId="0" xfId="53" applyNumberFormat="1" applyFont="1" applyProtection="1">
      <alignment/>
      <protection locked="0"/>
    </xf>
    <xf numFmtId="39" fontId="0" fillId="0" borderId="24" xfId="53" applyFont="1" applyBorder="1">
      <alignment/>
      <protection/>
    </xf>
    <xf numFmtId="171" fontId="0" fillId="0" borderId="0" xfId="53" applyNumberFormat="1" applyFont="1" applyProtection="1">
      <alignment/>
      <protection/>
    </xf>
    <xf numFmtId="39" fontId="0" fillId="0" borderId="0" xfId="53" applyNumberFormat="1" applyFont="1">
      <alignment/>
      <protection/>
    </xf>
    <xf numFmtId="39" fontId="5" fillId="0" borderId="0" xfId="53" applyFont="1">
      <alignment/>
      <protection/>
    </xf>
    <xf numFmtId="37" fontId="0" fillId="0" borderId="0" xfId="53" applyNumberFormat="1" applyFont="1" applyBorder="1" applyAlignment="1" applyProtection="1">
      <alignment/>
      <protection/>
    </xf>
    <xf numFmtId="170" fontId="12" fillId="0" borderId="0" xfId="53" applyNumberFormat="1" applyFont="1" applyBorder="1" applyProtection="1">
      <alignment/>
      <protection/>
    </xf>
    <xf numFmtId="39" fontId="0" fillId="0" borderId="0" xfId="53" applyNumberFormat="1" applyFont="1" applyBorder="1">
      <alignment/>
      <protection/>
    </xf>
    <xf numFmtId="39" fontId="0" fillId="0" borderId="20" xfId="53" applyFont="1" applyBorder="1" applyProtection="1">
      <alignment/>
      <protection/>
    </xf>
    <xf numFmtId="39" fontId="8" fillId="0" borderId="0" xfId="53">
      <alignment/>
      <protection/>
    </xf>
    <xf numFmtId="39" fontId="8" fillId="0" borderId="0" xfId="53" applyBorder="1">
      <alignment/>
      <protection/>
    </xf>
    <xf numFmtId="10" fontId="0" fillId="0" borderId="20" xfId="55" applyNumberFormat="1" applyFont="1" applyBorder="1" applyAlignment="1" applyProtection="1">
      <alignment/>
      <protection/>
    </xf>
    <xf numFmtId="39" fontId="0" fillId="0" borderId="0" xfId="53" applyFont="1" applyFill="1" applyBorder="1" applyAlignment="1">
      <alignment horizontal="center"/>
      <protection/>
    </xf>
    <xf numFmtId="170" fontId="0" fillId="0" borderId="0" xfId="53" applyNumberFormat="1" applyFont="1" applyFill="1" applyBorder="1" applyAlignment="1">
      <alignment horizontal="center"/>
      <protection/>
    </xf>
    <xf numFmtId="170" fontId="5" fillId="0" borderId="0" xfId="53" applyNumberFormat="1" applyFont="1" applyFill="1" applyBorder="1" applyAlignment="1" applyProtection="1">
      <alignment horizontal="center"/>
      <protection/>
    </xf>
    <xf numFmtId="39" fontId="0" fillId="0" borderId="0" xfId="53" applyNumberFormat="1" applyFont="1" applyFill="1" applyBorder="1" applyAlignment="1">
      <alignment horizontal="center"/>
      <protection/>
    </xf>
    <xf numFmtId="39" fontId="0" fillId="0" borderId="0" xfId="53" applyFont="1" applyFill="1" applyBorder="1">
      <alignment/>
      <protection/>
    </xf>
    <xf numFmtId="170" fontId="0" fillId="0" borderId="0" xfId="53" applyNumberFormat="1" applyFont="1" applyFill="1" applyBorder="1" applyAlignment="1" applyProtection="1">
      <alignment horizontal="left"/>
      <protection/>
    </xf>
    <xf numFmtId="37" fontId="5" fillId="0" borderId="0" xfId="53" applyNumberFormat="1" applyFont="1" applyFill="1" applyBorder="1" applyAlignment="1" applyProtection="1">
      <alignment horizontal="center"/>
      <protection/>
    </xf>
    <xf numFmtId="170" fontId="0" fillId="0" borderId="0" xfId="53" applyNumberFormat="1" applyFont="1" applyFill="1" applyBorder="1">
      <alignment/>
      <protection/>
    </xf>
    <xf numFmtId="39" fontId="0" fillId="0" borderId="0" xfId="53" applyNumberFormat="1" applyFont="1" applyFill="1" applyBorder="1">
      <alignment/>
      <protection/>
    </xf>
    <xf numFmtId="37" fontId="0" fillId="0" borderId="0" xfId="53" applyNumberFormat="1" applyFont="1" applyFill="1" applyBorder="1" applyAlignment="1">
      <alignment horizontal="center"/>
      <protection/>
    </xf>
    <xf numFmtId="37" fontId="10" fillId="0" borderId="0" xfId="53" applyNumberFormat="1" applyFont="1" applyFill="1" applyBorder="1" applyAlignment="1" applyProtection="1">
      <alignment horizontal="right"/>
      <protection/>
    </xf>
    <xf numFmtId="0" fontId="10" fillId="0" borderId="0" xfId="53" applyNumberFormat="1" applyFont="1" applyFill="1" applyBorder="1" applyAlignment="1" applyProtection="1">
      <alignment horizontal="center"/>
      <protection locked="0"/>
    </xf>
    <xf numFmtId="0" fontId="10" fillId="0" borderId="0" xfId="53" applyNumberFormat="1" applyFont="1" applyFill="1" applyBorder="1" applyAlignment="1">
      <alignment horizontal="left"/>
      <protection/>
    </xf>
    <xf numFmtId="37" fontId="0" fillId="0" borderId="0" xfId="53" applyNumberFormat="1" applyFont="1" applyFill="1" applyBorder="1" applyAlignment="1" applyProtection="1">
      <alignment horizontal="center"/>
      <protection/>
    </xf>
    <xf numFmtId="170" fontId="10" fillId="0" borderId="0" xfId="53" applyNumberFormat="1" applyFont="1" applyFill="1" applyBorder="1" applyAlignment="1" applyProtection="1">
      <alignment horizontal="center"/>
      <protection locked="0"/>
    </xf>
    <xf numFmtId="4" fontId="0" fillId="0" borderId="24" xfId="53" applyNumberFormat="1" applyFont="1" applyBorder="1" applyProtection="1">
      <alignment/>
      <protection/>
    </xf>
    <xf numFmtId="40" fontId="0" fillId="0" borderId="24" xfId="53" applyNumberFormat="1" applyFont="1" applyBorder="1" applyProtection="1">
      <alignment/>
      <protection/>
    </xf>
    <xf numFmtId="0" fontId="0" fillId="0" borderId="0" xfId="0" applyBorder="1" applyAlignment="1">
      <alignment/>
    </xf>
    <xf numFmtId="39" fontId="5" fillId="0" borderId="0" xfId="53" applyFont="1" applyFill="1" applyBorder="1">
      <alignment/>
      <protection/>
    </xf>
    <xf numFmtId="170" fontId="11" fillId="0" borderId="0" xfId="53" applyNumberFormat="1" applyFont="1" applyFill="1" applyBorder="1" applyAlignment="1" applyProtection="1">
      <alignment horizontal="center"/>
      <protection/>
    </xf>
    <xf numFmtId="39" fontId="11" fillId="0" borderId="0" xfId="53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right"/>
    </xf>
    <xf numFmtId="39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39" fontId="0" fillId="0" borderId="0" xfId="0" applyNumberFormat="1" applyAlignment="1">
      <alignment/>
    </xf>
    <xf numFmtId="0" fontId="5" fillId="0" borderId="0" xfId="0" applyFont="1" applyFill="1" applyBorder="1" applyAlignment="1">
      <alignment horizontal="right"/>
    </xf>
    <xf numFmtId="175" fontId="0" fillId="0" borderId="0" xfId="0" applyNumberFormat="1" applyAlignment="1">
      <alignment/>
    </xf>
    <xf numFmtId="37" fontId="0" fillId="0" borderId="0" xfId="53" applyNumberFormat="1" applyFont="1" applyFill="1" applyBorder="1" applyProtection="1">
      <alignment/>
      <protection/>
    </xf>
    <xf numFmtId="170" fontId="0" fillId="0" borderId="0" xfId="53" applyNumberFormat="1" applyFont="1" applyFill="1" applyBorder="1" applyProtection="1">
      <alignment/>
      <protection/>
    </xf>
    <xf numFmtId="170" fontId="12" fillId="0" borderId="0" xfId="53" applyNumberFormat="1" applyFont="1" applyFill="1" applyBorder="1" applyProtection="1">
      <alignment/>
      <protection locked="0"/>
    </xf>
    <xf numFmtId="39" fontId="12" fillId="0" borderId="0" xfId="53" applyNumberFormat="1" applyFont="1" applyFill="1" applyBorder="1" applyProtection="1">
      <alignment/>
      <protection locked="0"/>
    </xf>
    <xf numFmtId="0" fontId="5" fillId="0" borderId="0" xfId="0" applyFont="1" applyAlignment="1">
      <alignment horizontal="right"/>
    </xf>
    <xf numFmtId="39" fontId="0" fillId="0" borderId="0" xfId="0" applyNumberFormat="1" applyAlignment="1">
      <alignment horizontal="center"/>
    </xf>
    <xf numFmtId="37" fontId="12" fillId="0" borderId="0" xfId="53" applyNumberFormat="1" applyFont="1" applyFill="1" applyBorder="1" applyProtection="1">
      <alignment/>
      <protection locked="0"/>
    </xf>
    <xf numFmtId="37" fontId="5" fillId="0" borderId="0" xfId="53" applyNumberFormat="1" applyFont="1" applyFill="1" applyBorder="1" applyAlignment="1" applyProtection="1">
      <alignment horizontal="left"/>
      <protection/>
    </xf>
    <xf numFmtId="170" fontId="5" fillId="0" borderId="0" xfId="53" applyNumberFormat="1" applyFont="1" applyFill="1" applyBorder="1" applyAlignment="1" applyProtection="1">
      <alignment horizontal="left"/>
      <protection/>
    </xf>
    <xf numFmtId="170" fontId="11" fillId="0" borderId="0" xfId="53" applyNumberFormat="1" applyFont="1" applyFill="1" applyBorder="1">
      <alignment/>
      <protection/>
    </xf>
    <xf numFmtId="39" fontId="8" fillId="0" borderId="0" xfId="53" applyNumberFormat="1" applyFill="1" applyBorder="1">
      <alignment/>
      <protection/>
    </xf>
    <xf numFmtId="39" fontId="11" fillId="0" borderId="0" xfId="53" applyFont="1" applyFill="1" applyBorder="1">
      <alignment/>
      <protection/>
    </xf>
    <xf numFmtId="170" fontId="12" fillId="0" borderId="0" xfId="53" applyNumberFormat="1" applyFont="1" applyFill="1" applyBorder="1" applyProtection="1">
      <alignment/>
      <protection/>
    </xf>
    <xf numFmtId="37" fontId="5" fillId="0" borderId="0" xfId="53" applyNumberFormat="1" applyFont="1" applyFill="1" applyBorder="1" applyAlignment="1" applyProtection="1">
      <alignment horizontal="left"/>
      <protection/>
    </xf>
    <xf numFmtId="170" fontId="13" fillId="0" borderId="0" xfId="53" applyNumberFormat="1" applyFont="1" applyFill="1" applyBorder="1" applyAlignment="1" applyProtection="1">
      <alignment horizontal="center"/>
      <protection/>
    </xf>
    <xf numFmtId="170" fontId="14" fillId="0" borderId="0" xfId="53" applyNumberFormat="1" applyFont="1" applyFill="1" applyBorder="1" applyAlignment="1" applyProtection="1">
      <alignment horizontal="center"/>
      <protection locked="0"/>
    </xf>
    <xf numFmtId="39" fontId="11" fillId="0" borderId="0" xfId="53" applyFont="1" applyFill="1" applyBorder="1" applyAlignment="1" applyProtection="1">
      <alignment horizontal="center"/>
      <protection/>
    </xf>
    <xf numFmtId="170" fontId="0" fillId="0" borderId="0" xfId="53" applyNumberFormat="1" applyFont="1" applyFill="1" applyBorder="1" applyProtection="1">
      <alignment/>
      <protection locked="0"/>
    </xf>
    <xf numFmtId="171" fontId="0" fillId="0" borderId="0" xfId="53" applyNumberFormat="1" applyFont="1" applyFill="1" applyBorder="1" applyProtection="1">
      <alignment/>
      <protection/>
    </xf>
    <xf numFmtId="37" fontId="0" fillId="0" borderId="0" xfId="53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3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10" fontId="5" fillId="39" borderId="10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9" borderId="14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7" fontId="0" fillId="0" borderId="10" xfId="0" applyNumberFormat="1" applyFont="1" applyBorder="1" applyAlignment="1">
      <alignment/>
    </xf>
    <xf numFmtId="43" fontId="0" fillId="35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 horizontal="center"/>
    </xf>
    <xf numFmtId="174" fontId="0" fillId="0" borderId="10" xfId="55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7" fontId="0" fillId="0" borderId="12" xfId="0" applyNumberFormat="1" applyFont="1" applyBorder="1" applyAlignment="1">
      <alignment/>
    </xf>
    <xf numFmtId="43" fontId="0" fillId="35" borderId="12" xfId="0" applyNumberFormat="1" applyFont="1" applyFill="1" applyBorder="1" applyAlignment="1">
      <alignment/>
    </xf>
    <xf numFmtId="174" fontId="0" fillId="0" borderId="12" xfId="55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/>
    </xf>
    <xf numFmtId="4" fontId="5" fillId="0" borderId="24" xfId="0" applyNumberFormat="1" applyFont="1" applyBorder="1" applyAlignment="1">
      <alignment horizontal="center"/>
    </xf>
    <xf numFmtId="174" fontId="5" fillId="0" borderId="24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74" fontId="0" fillId="0" borderId="0" xfId="0" applyNumberFormat="1" applyFont="1" applyAlignment="1">
      <alignment/>
    </xf>
    <xf numFmtId="0" fontId="0" fillId="39" borderId="0" xfId="0" applyFont="1" applyFill="1" applyAlignment="1">
      <alignment/>
    </xf>
    <xf numFmtId="39" fontId="0" fillId="0" borderId="0" xfId="0" applyNumberFormat="1" applyFont="1" applyAlignment="1">
      <alignment horizontal="center"/>
    </xf>
    <xf numFmtId="174" fontId="0" fillId="0" borderId="20" xfId="0" applyNumberFormat="1" applyFont="1" applyBorder="1" applyAlignment="1">
      <alignment/>
    </xf>
    <xf numFmtId="43" fontId="5" fillId="36" borderId="0" xfId="0" applyNumberFormat="1" applyFont="1" applyFill="1" applyAlignment="1">
      <alignment/>
    </xf>
    <xf numFmtId="2" fontId="0" fillId="0" borderId="0" xfId="0" applyNumberFormat="1" applyFont="1" applyAlignment="1">
      <alignment horizontal="center"/>
    </xf>
    <xf numFmtId="40" fontId="5" fillId="36" borderId="0" xfId="0" applyNumberFormat="1" applyFont="1" applyFill="1" applyAlignment="1">
      <alignment/>
    </xf>
    <xf numFmtId="4" fontId="4" fillId="0" borderId="0" xfId="0" applyNumberFormat="1" applyFont="1" applyFill="1" applyAlignment="1" applyProtection="1">
      <alignment/>
      <protection hidden="1"/>
    </xf>
    <xf numFmtId="4" fontId="4" fillId="0" borderId="20" xfId="0" applyNumberFormat="1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 vertical="justify"/>
      <protection hidden="1"/>
    </xf>
    <xf numFmtId="0" fontId="3" fillId="33" borderId="19" xfId="0" applyFont="1" applyFill="1" applyBorder="1" applyAlignment="1" applyProtection="1">
      <alignment horizontal="center" vertical="justify"/>
      <protection hidden="1"/>
    </xf>
    <xf numFmtId="0" fontId="3" fillId="33" borderId="21" xfId="0" applyFont="1" applyFill="1" applyBorder="1" applyAlignment="1" applyProtection="1">
      <alignment horizontal="center" vertical="justify"/>
      <protection hidden="1"/>
    </xf>
    <xf numFmtId="0" fontId="3" fillId="33" borderId="11" xfId="0" applyFont="1" applyFill="1" applyBorder="1" applyAlignment="1" applyProtection="1">
      <alignment horizontal="center" vertical="justify"/>
      <protection hidden="1"/>
    </xf>
    <xf numFmtId="0" fontId="3" fillId="33" borderId="15" xfId="0" applyFont="1" applyFill="1" applyBorder="1" applyAlignment="1" applyProtection="1">
      <alignment horizontal="center" vertical="center"/>
      <protection hidden="1"/>
    </xf>
    <xf numFmtId="0" fontId="3" fillId="33" borderId="19" xfId="0" applyFont="1" applyFill="1" applyBorder="1" applyAlignment="1" applyProtection="1">
      <alignment horizontal="center" vertical="center"/>
      <protection hidden="1"/>
    </xf>
    <xf numFmtId="0" fontId="3" fillId="33" borderId="21" xfId="0" applyFont="1" applyFill="1" applyBorder="1" applyAlignment="1" applyProtection="1">
      <alignment horizontal="center" vertical="center"/>
      <protection hidden="1"/>
    </xf>
    <xf numFmtId="0" fontId="3" fillId="33" borderId="11" xfId="0" applyFont="1" applyFill="1" applyBorder="1" applyAlignment="1" applyProtection="1">
      <alignment horizontal="center" vertical="center"/>
      <protection hidden="1"/>
    </xf>
    <xf numFmtId="0" fontId="3" fillId="33" borderId="12" xfId="0" applyFont="1" applyFill="1" applyBorder="1" applyAlignment="1" applyProtection="1">
      <alignment horizontal="center" vertical="justify"/>
      <protection hidden="1"/>
    </xf>
    <xf numFmtId="0" fontId="3" fillId="33" borderId="14" xfId="0" applyFont="1" applyFill="1" applyBorder="1" applyAlignment="1" applyProtection="1">
      <alignment horizontal="center" vertical="justify"/>
      <protection hidden="1"/>
    </xf>
    <xf numFmtId="0" fontId="3" fillId="33" borderId="12" xfId="0" applyFont="1" applyFill="1" applyBorder="1" applyAlignment="1" applyProtection="1">
      <alignment horizontal="center" vertical="center"/>
      <protection hidden="1"/>
    </xf>
    <xf numFmtId="0" fontId="3" fillId="33" borderId="14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 horizontal="center" vertical="justify"/>
      <protection hidden="1"/>
    </xf>
    <xf numFmtId="0" fontId="3" fillId="33" borderId="20" xfId="0" applyFont="1" applyFill="1" applyBorder="1" applyAlignment="1" applyProtection="1">
      <alignment horizontal="center" vertical="center"/>
      <protection hidden="1"/>
    </xf>
    <xf numFmtId="0" fontId="3" fillId="0" borderId="22" xfId="0" applyFont="1" applyFill="1" applyBorder="1" applyAlignment="1" applyProtection="1">
      <alignment horizontal="center"/>
      <protection hidden="1"/>
    </xf>
    <xf numFmtId="0" fontId="3" fillId="0" borderId="25" xfId="0" applyFont="1" applyFill="1" applyBorder="1" applyAlignment="1" applyProtection="1">
      <alignment horizontal="center"/>
      <protection hidden="1"/>
    </xf>
    <xf numFmtId="0" fontId="3" fillId="0" borderId="23" xfId="0" applyFont="1" applyFill="1" applyBorder="1" applyAlignment="1" applyProtection="1">
      <alignment horizontal="center"/>
      <protection hidden="1"/>
    </xf>
    <xf numFmtId="0" fontId="5" fillId="33" borderId="22" xfId="0" applyFont="1" applyFill="1" applyBorder="1" applyAlignment="1" applyProtection="1">
      <alignment horizontal="center" vertical="center" wrapText="1"/>
      <protection hidden="1"/>
    </xf>
    <xf numFmtId="0" fontId="5" fillId="33" borderId="23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0" fontId="6" fillId="33" borderId="14" xfId="0" applyFont="1" applyFill="1" applyBorder="1" applyAlignment="1" applyProtection="1">
      <alignment horizontal="center" vertical="center"/>
      <protection hidden="1"/>
    </xf>
    <xf numFmtId="0" fontId="3" fillId="33" borderId="22" xfId="0" applyFont="1" applyFill="1" applyBorder="1" applyAlignment="1" applyProtection="1">
      <alignment horizontal="center" vertical="justify"/>
      <protection hidden="1"/>
    </xf>
    <xf numFmtId="0" fontId="3" fillId="33" borderId="23" xfId="0" applyFont="1" applyFill="1" applyBorder="1" applyAlignment="1" applyProtection="1">
      <alignment horizontal="center" vertical="justify"/>
      <protection hidden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RT80PRO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zoomScalePageLayoutView="0" workbookViewId="0" topLeftCell="G1">
      <pane xSplit="4" ySplit="17" topLeftCell="K35" activePane="bottomRight" state="frozen"/>
      <selection pane="topLeft" activeCell="G1" sqref="G1"/>
      <selection pane="topRight" activeCell="K1" sqref="K1"/>
      <selection pane="bottomLeft" activeCell="G18" sqref="G18"/>
      <selection pane="bottomRight" activeCell="M9" sqref="M9"/>
    </sheetView>
  </sheetViews>
  <sheetFormatPr defaultColWidth="9.33203125" defaultRowHeight="11.25"/>
  <cols>
    <col min="1" max="2" width="9.33203125" style="0" customWidth="1"/>
    <col min="3" max="3" width="13.16015625" style="0" customWidth="1"/>
    <col min="4" max="4" width="14.33203125" style="0" customWidth="1"/>
    <col min="5" max="5" width="13.83203125" style="0" customWidth="1"/>
    <col min="6" max="7" width="9.33203125" style="0" customWidth="1"/>
    <col min="8" max="8" width="12" style="0" customWidth="1"/>
    <col min="9" max="9" width="10.66015625" style="0" customWidth="1"/>
    <col min="10" max="11" width="10.83203125" style="0" customWidth="1"/>
    <col min="12" max="12" width="6.33203125" style="0" customWidth="1"/>
    <col min="13" max="13" width="10.83203125" style="0" customWidth="1"/>
    <col min="14" max="14" width="6.33203125" style="0" customWidth="1"/>
  </cols>
  <sheetData>
    <row r="1" spans="1:10" ht="15.75">
      <c r="A1" s="82"/>
      <c r="B1" s="83"/>
      <c r="C1" s="84" t="s">
        <v>50</v>
      </c>
      <c r="D1" s="83"/>
      <c r="E1" s="85"/>
      <c r="F1" s="86"/>
      <c r="G1" s="87" t="s">
        <v>110</v>
      </c>
      <c r="H1" s="87"/>
      <c r="I1" s="87"/>
      <c r="J1" s="87"/>
    </row>
    <row r="2" spans="1:10" ht="11.25">
      <c r="A2" s="88"/>
      <c r="B2" s="89"/>
      <c r="C2" s="90" t="s">
        <v>51</v>
      </c>
      <c r="D2" s="91"/>
      <c r="E2" s="92"/>
      <c r="F2" s="86"/>
      <c r="G2" s="93" t="s">
        <v>52</v>
      </c>
      <c r="H2" s="93"/>
      <c r="I2" s="93"/>
      <c r="J2" s="93"/>
    </row>
    <row r="3" spans="1:10" ht="11.25">
      <c r="A3" s="94"/>
      <c r="B3" s="95"/>
      <c r="C3" s="96">
        <v>2012</v>
      </c>
      <c r="D3" s="97"/>
      <c r="E3" s="94"/>
      <c r="F3" s="98"/>
      <c r="G3" s="99" t="s">
        <v>53</v>
      </c>
      <c r="H3" s="100"/>
      <c r="I3" s="100"/>
      <c r="J3" s="101"/>
    </row>
    <row r="4" spans="1:10" ht="11.25">
      <c r="A4" s="94"/>
      <c r="B4" s="102"/>
      <c r="C4" s="103"/>
      <c r="D4" s="94"/>
      <c r="E4" s="94"/>
      <c r="F4" s="98"/>
      <c r="G4" t="s">
        <v>54</v>
      </c>
      <c r="I4" s="105">
        <v>61.38</v>
      </c>
      <c r="J4" s="100"/>
    </row>
    <row r="5" spans="1:13" ht="11.25">
      <c r="A5" s="94"/>
      <c r="B5" s="102"/>
      <c r="C5" s="103"/>
      <c r="D5" s="94"/>
      <c r="E5" s="94"/>
      <c r="F5" s="98"/>
      <c r="G5" t="s">
        <v>55</v>
      </c>
      <c r="H5" s="100"/>
      <c r="I5" s="105">
        <v>64.76</v>
      </c>
      <c r="J5" s="100"/>
      <c r="K5" s="106" t="s">
        <v>56</v>
      </c>
      <c r="M5" s="106" t="s">
        <v>56</v>
      </c>
    </row>
    <row r="6" spans="1:13" ht="11.25">
      <c r="A6" s="107" t="s">
        <v>57</v>
      </c>
      <c r="B6" s="108"/>
      <c r="C6" s="109"/>
      <c r="D6" s="109"/>
      <c r="E6" s="110"/>
      <c r="F6" s="86"/>
      <c r="G6" s="111"/>
      <c r="H6" s="111"/>
      <c r="I6" s="111"/>
      <c r="J6" s="111"/>
      <c r="K6" s="112">
        <v>1</v>
      </c>
      <c r="M6" s="112">
        <v>2</v>
      </c>
    </row>
    <row r="7" spans="1:13" ht="11.25">
      <c r="A7" s="113"/>
      <c r="B7" s="109" t="s">
        <v>58</v>
      </c>
      <c r="C7" s="109" t="s">
        <v>58</v>
      </c>
      <c r="D7" s="109" t="s">
        <v>59</v>
      </c>
      <c r="E7" s="110" t="s">
        <v>60</v>
      </c>
      <c r="F7" s="86"/>
      <c r="G7" s="114" t="s">
        <v>61</v>
      </c>
      <c r="H7" s="115"/>
      <c r="I7" s="115"/>
      <c r="J7" s="111"/>
      <c r="K7" s="116"/>
      <c r="M7" s="116"/>
    </row>
    <row r="8" spans="1:13" ht="11.25">
      <c r="A8" s="108" t="s">
        <v>62</v>
      </c>
      <c r="B8" s="108" t="s">
        <v>63</v>
      </c>
      <c r="C8" s="108" t="s">
        <v>64</v>
      </c>
      <c r="D8" s="108" t="s">
        <v>65</v>
      </c>
      <c r="E8" s="117" t="s">
        <v>66</v>
      </c>
      <c r="F8" s="86"/>
      <c r="G8" s="118">
        <v>1</v>
      </c>
      <c r="H8" s="119" t="s">
        <v>67</v>
      </c>
      <c r="I8" s="119"/>
      <c r="J8" s="111"/>
      <c r="K8" s="120">
        <f>+K9*6</f>
        <v>469.20000000000005</v>
      </c>
      <c r="M8" s="120">
        <f>+M9*6</f>
        <v>709.2</v>
      </c>
    </row>
    <row r="9" spans="1:13" ht="11.25">
      <c r="A9" s="121">
        <v>1</v>
      </c>
      <c r="B9" s="122">
        <v>0.01</v>
      </c>
      <c r="C9" s="123">
        <v>114.24</v>
      </c>
      <c r="D9" s="123">
        <v>0</v>
      </c>
      <c r="E9" s="124">
        <v>0.0192</v>
      </c>
      <c r="F9" s="86"/>
      <c r="G9" s="118">
        <v>10</v>
      </c>
      <c r="H9" s="119" t="s">
        <v>68</v>
      </c>
      <c r="I9" s="119"/>
      <c r="J9" s="111"/>
      <c r="K9" s="120">
        <v>78.2</v>
      </c>
      <c r="M9" s="120">
        <v>118.2</v>
      </c>
    </row>
    <row r="10" spans="1:13" ht="11.25">
      <c r="A10" s="121">
        <v>2</v>
      </c>
      <c r="B10" s="122">
        <f aca="true" t="shared" si="0" ref="B10:B16">C9+0.01</f>
        <v>114.25</v>
      </c>
      <c r="C10" s="123">
        <v>969.5</v>
      </c>
      <c r="D10" s="123">
        <v>2.17</v>
      </c>
      <c r="E10" s="124">
        <v>0.064</v>
      </c>
      <c r="F10" s="86"/>
      <c r="G10" s="118">
        <v>11</v>
      </c>
      <c r="H10" s="125" t="s">
        <v>69</v>
      </c>
      <c r="I10" s="125"/>
      <c r="J10" s="111"/>
      <c r="K10" s="120">
        <v>0</v>
      </c>
      <c r="M10" s="120">
        <v>0</v>
      </c>
    </row>
    <row r="11" spans="1:14" ht="11.25">
      <c r="A11" s="121">
        <v>3</v>
      </c>
      <c r="B11" s="122">
        <f t="shared" si="0"/>
        <v>969.51</v>
      </c>
      <c r="C11" s="123">
        <v>1703.8</v>
      </c>
      <c r="D11" s="123">
        <v>56.91</v>
      </c>
      <c r="E11" s="124">
        <v>0.1088</v>
      </c>
      <c r="F11" s="86"/>
      <c r="G11" s="118">
        <v>4</v>
      </c>
      <c r="H11" s="125" t="s">
        <v>70</v>
      </c>
      <c r="I11" s="125"/>
      <c r="J11" s="111"/>
      <c r="K11" s="120">
        <v>0</v>
      </c>
      <c r="M11" s="120">
        <v>0</v>
      </c>
      <c r="N11" s="126"/>
    </row>
    <row r="12" spans="1:14" ht="11.25">
      <c r="A12" s="121">
        <v>4</v>
      </c>
      <c r="B12" s="122">
        <f t="shared" si="0"/>
        <v>1703.81</v>
      </c>
      <c r="C12" s="123">
        <v>1980.58</v>
      </c>
      <c r="D12" s="123">
        <v>136.85</v>
      </c>
      <c r="E12" s="124">
        <v>0.16</v>
      </c>
      <c r="F12" s="86"/>
      <c r="G12" s="127">
        <v>13</v>
      </c>
      <c r="H12" s="125" t="s">
        <v>71</v>
      </c>
      <c r="I12" s="111"/>
      <c r="J12" s="111"/>
      <c r="K12" s="120">
        <f>(K8+K9)*0.1</f>
        <v>54.74000000000001</v>
      </c>
      <c r="M12" s="120">
        <f>(M8+M9)*0.1</f>
        <v>82.74000000000001</v>
      </c>
      <c r="N12" s="126"/>
    </row>
    <row r="13" spans="1:14" ht="11.25">
      <c r="A13" s="121">
        <v>5</v>
      </c>
      <c r="B13" s="122">
        <f t="shared" si="0"/>
        <v>1980.59</v>
      </c>
      <c r="C13" s="123">
        <v>2371.32</v>
      </c>
      <c r="D13" s="123">
        <v>181.09</v>
      </c>
      <c r="E13" s="124">
        <v>0.1792</v>
      </c>
      <c r="F13" s="86"/>
      <c r="G13" s="127">
        <v>12</v>
      </c>
      <c r="H13" s="111" t="s">
        <v>72</v>
      </c>
      <c r="I13" s="111"/>
      <c r="J13" s="111"/>
      <c r="K13" s="120">
        <f>+K12</f>
        <v>54.74000000000001</v>
      </c>
      <c r="M13" s="120">
        <f>+M12</f>
        <v>82.74000000000001</v>
      </c>
      <c r="N13" s="126"/>
    </row>
    <row r="14" spans="1:13" ht="11.25">
      <c r="A14" s="121">
        <v>6</v>
      </c>
      <c r="B14" s="122">
        <f t="shared" si="0"/>
        <v>2371.3300000000004</v>
      </c>
      <c r="C14" s="123">
        <v>4782.61</v>
      </c>
      <c r="D14" s="123">
        <v>251.16</v>
      </c>
      <c r="E14" s="124">
        <v>0.2136</v>
      </c>
      <c r="F14" s="86"/>
      <c r="G14" s="127">
        <v>17</v>
      </c>
      <c r="H14" s="111" t="s">
        <v>73</v>
      </c>
      <c r="I14" s="111"/>
      <c r="J14" s="111"/>
      <c r="K14" s="120">
        <v>0</v>
      </c>
      <c r="M14" s="120">
        <v>0</v>
      </c>
    </row>
    <row r="15" spans="1:14" ht="11.25">
      <c r="A15" s="121">
        <v>7</v>
      </c>
      <c r="B15" s="122">
        <f t="shared" si="0"/>
        <v>4782.62</v>
      </c>
      <c r="C15" s="123">
        <v>7538.09</v>
      </c>
      <c r="D15" s="123">
        <v>766.15</v>
      </c>
      <c r="E15" s="124">
        <v>0.2352</v>
      </c>
      <c r="F15" s="86"/>
      <c r="G15" s="127"/>
      <c r="H15" s="111" t="s">
        <v>74</v>
      </c>
      <c r="I15" s="111"/>
      <c r="J15" s="111"/>
      <c r="K15" s="120">
        <v>0</v>
      </c>
      <c r="M15" s="120">
        <v>0</v>
      </c>
      <c r="N15" s="105"/>
    </row>
    <row r="16" spans="1:13" ht="11.25">
      <c r="A16" s="121">
        <v>8</v>
      </c>
      <c r="B16" s="122">
        <f t="shared" si="0"/>
        <v>7538.1</v>
      </c>
      <c r="C16" s="123">
        <v>99999999</v>
      </c>
      <c r="D16" s="123">
        <v>1414.28</v>
      </c>
      <c r="E16" s="124">
        <v>0.3</v>
      </c>
      <c r="F16" s="86"/>
      <c r="G16" s="127">
        <v>31</v>
      </c>
      <c r="H16" s="111" t="s">
        <v>75</v>
      </c>
      <c r="I16" s="111"/>
      <c r="J16" s="111"/>
      <c r="K16" s="120">
        <v>0</v>
      </c>
      <c r="M16" s="120">
        <v>0</v>
      </c>
    </row>
    <row r="17" spans="6:14" ht="12" thickBot="1">
      <c r="F17" s="86"/>
      <c r="G17" s="128" t="s">
        <v>76</v>
      </c>
      <c r="H17" s="129"/>
      <c r="I17" s="129"/>
      <c r="J17" s="111"/>
      <c r="K17" s="130">
        <f>SUM(K8:K16)</f>
        <v>656.8800000000001</v>
      </c>
      <c r="M17" s="130">
        <f>SUM(M8:M16)</f>
        <v>992.8800000000001</v>
      </c>
      <c r="N17" s="105"/>
    </row>
    <row r="18" spans="6:14" ht="12" thickTop="1">
      <c r="F18" s="86"/>
      <c r="G18" s="131"/>
      <c r="H18" s="86"/>
      <c r="I18" s="86"/>
      <c r="J18" s="111"/>
      <c r="K18" s="132"/>
      <c r="M18" s="132"/>
      <c r="N18" s="105"/>
    </row>
    <row r="19" spans="1:14" ht="11.25">
      <c r="A19" s="133" t="s">
        <v>77</v>
      </c>
      <c r="B19" s="134"/>
      <c r="C19" s="135" t="s">
        <v>78</v>
      </c>
      <c r="D19" s="136"/>
      <c r="E19" s="137"/>
      <c r="F19" s="86"/>
      <c r="G19" s="138" t="s">
        <v>79</v>
      </c>
      <c r="H19" s="139"/>
      <c r="I19" s="139"/>
      <c r="J19" s="111"/>
      <c r="K19" s="115"/>
      <c r="M19" s="115"/>
      <c r="N19" s="105"/>
    </row>
    <row r="20" spans="1:14" ht="11.25">
      <c r="A20" s="140"/>
      <c r="B20" s="141" t="s">
        <v>80</v>
      </c>
      <c r="C20" s="141" t="s">
        <v>81</v>
      </c>
      <c r="D20" s="141" t="s">
        <v>82</v>
      </c>
      <c r="E20" s="142"/>
      <c r="F20" s="86"/>
      <c r="G20" s="118">
        <v>10</v>
      </c>
      <c r="H20" s="125" t="s">
        <v>83</v>
      </c>
      <c r="I20" s="125"/>
      <c r="J20" s="111"/>
      <c r="K20" s="120">
        <v>0</v>
      </c>
      <c r="M20" s="120">
        <v>0</v>
      </c>
      <c r="N20" s="105"/>
    </row>
    <row r="21" spans="1:13" ht="11.25">
      <c r="A21" s="143" t="s">
        <v>84</v>
      </c>
      <c r="B21" s="134" t="s">
        <v>85</v>
      </c>
      <c r="C21" s="134" t="s">
        <v>85</v>
      </c>
      <c r="D21" s="134" t="s">
        <v>86</v>
      </c>
      <c r="E21" s="144"/>
      <c r="F21" s="86"/>
      <c r="G21" s="127">
        <v>11</v>
      </c>
      <c r="H21" s="111" t="s">
        <v>87</v>
      </c>
      <c r="I21" s="125"/>
      <c r="J21" s="111"/>
      <c r="K21" s="120">
        <v>0</v>
      </c>
      <c r="M21" s="120">
        <v>0</v>
      </c>
    </row>
    <row r="22" spans="1:14" ht="11.25">
      <c r="A22" s="121">
        <v>1</v>
      </c>
      <c r="B22" s="145">
        <v>0.01</v>
      </c>
      <c r="C22" s="123">
        <v>407.33</v>
      </c>
      <c r="D22" s="123">
        <v>93.73</v>
      </c>
      <c r="E22" s="146"/>
      <c r="F22" s="86"/>
      <c r="G22" s="127">
        <v>31</v>
      </c>
      <c r="H22" s="111" t="s">
        <v>88</v>
      </c>
      <c r="I22" s="125"/>
      <c r="J22" s="111"/>
      <c r="K22" s="120">
        <v>0</v>
      </c>
      <c r="M22" s="120">
        <v>0</v>
      </c>
      <c r="N22" s="105"/>
    </row>
    <row r="23" spans="1:13" ht="11.25">
      <c r="A23" s="121">
        <v>2</v>
      </c>
      <c r="B23" s="122">
        <f>+C22+0.01</f>
        <v>407.34</v>
      </c>
      <c r="C23" s="123">
        <v>610.96</v>
      </c>
      <c r="D23" s="123">
        <v>93.66</v>
      </c>
      <c r="E23" s="146"/>
      <c r="F23" s="86"/>
      <c r="G23" s="127">
        <v>12</v>
      </c>
      <c r="H23" s="111" t="s">
        <v>73</v>
      </c>
      <c r="I23" s="127"/>
      <c r="J23" s="111"/>
      <c r="K23" s="111">
        <v>0</v>
      </c>
      <c r="M23" s="111">
        <v>0</v>
      </c>
    </row>
    <row r="24" spans="1:14" ht="11.25">
      <c r="A24" s="121">
        <v>3</v>
      </c>
      <c r="B24" s="122">
        <f aca="true" t="shared" si="1" ref="B24:B32">+C23+0.01</f>
        <v>610.97</v>
      </c>
      <c r="C24" s="123">
        <v>799.68</v>
      </c>
      <c r="D24" s="123">
        <v>93.66</v>
      </c>
      <c r="E24" s="146"/>
      <c r="F24" s="86"/>
      <c r="G24" s="111"/>
      <c r="H24" s="111" t="s">
        <v>74</v>
      </c>
      <c r="I24" s="111"/>
      <c r="J24" s="111"/>
      <c r="K24" s="120">
        <v>0</v>
      </c>
      <c r="M24" s="120">
        <v>0</v>
      </c>
      <c r="N24" s="105"/>
    </row>
    <row r="25" spans="1:13" ht="11.25">
      <c r="A25" s="121">
        <v>4</v>
      </c>
      <c r="B25" s="122">
        <f t="shared" si="1"/>
        <v>799.6899999999999</v>
      </c>
      <c r="C25" s="123">
        <v>814.66</v>
      </c>
      <c r="D25" s="123">
        <v>90.44</v>
      </c>
      <c r="E25" s="146"/>
      <c r="F25" s="86"/>
      <c r="G25" s="111"/>
      <c r="H25" s="111"/>
      <c r="I25" s="111"/>
      <c r="J25" s="111"/>
      <c r="K25" s="120"/>
      <c r="M25" s="120"/>
    </row>
    <row r="26" spans="1:13" ht="12" thickBot="1">
      <c r="A26" s="121">
        <v>5</v>
      </c>
      <c r="B26" s="122">
        <f t="shared" si="1"/>
        <v>814.67</v>
      </c>
      <c r="C26" s="123">
        <v>1023.75</v>
      </c>
      <c r="D26" s="123">
        <v>88.06</v>
      </c>
      <c r="E26" s="146"/>
      <c r="F26" s="86"/>
      <c r="G26" s="128" t="s">
        <v>89</v>
      </c>
      <c r="H26" s="129"/>
      <c r="I26" s="129"/>
      <c r="J26" s="111"/>
      <c r="K26" s="130">
        <f>SUM(K19:K24)</f>
        <v>0</v>
      </c>
      <c r="M26" s="130">
        <f>SUM(M19:M24)</f>
        <v>0</v>
      </c>
    </row>
    <row r="27" spans="1:13" ht="12" thickTop="1">
      <c r="A27" s="121">
        <v>6</v>
      </c>
      <c r="B27" s="122">
        <f t="shared" si="1"/>
        <v>1023.76</v>
      </c>
      <c r="C27" s="123">
        <v>1086.19</v>
      </c>
      <c r="D27" s="123">
        <v>81.55</v>
      </c>
      <c r="E27" s="146"/>
      <c r="F27" s="86"/>
      <c r="G27" s="111"/>
      <c r="H27" s="111"/>
      <c r="I27" s="111"/>
      <c r="J27" s="111"/>
      <c r="K27" s="111"/>
      <c r="M27" s="111"/>
    </row>
    <row r="28" spans="1:13" ht="12" thickBot="1">
      <c r="A28" s="121">
        <v>7</v>
      </c>
      <c r="B28" s="122">
        <f t="shared" si="1"/>
        <v>1086.2</v>
      </c>
      <c r="C28" s="123">
        <v>1228.57</v>
      </c>
      <c r="D28" s="123">
        <v>74.83</v>
      </c>
      <c r="E28" s="146"/>
      <c r="F28" s="86"/>
      <c r="G28" s="128" t="s">
        <v>90</v>
      </c>
      <c r="H28" s="128"/>
      <c r="I28" s="128"/>
      <c r="J28" s="111"/>
      <c r="K28" s="147">
        <f>+(K17-K26)</f>
        <v>656.8800000000001</v>
      </c>
      <c r="M28" s="147">
        <f>+(M17-M26)</f>
        <v>992.8800000000001</v>
      </c>
    </row>
    <row r="29" spans="1:13" ht="12" thickTop="1">
      <c r="A29" s="148">
        <v>8</v>
      </c>
      <c r="B29" s="122">
        <f t="shared" si="1"/>
        <v>1228.58</v>
      </c>
      <c r="C29" s="123">
        <v>1433.32</v>
      </c>
      <c r="D29" s="123">
        <v>67.83</v>
      </c>
      <c r="E29" s="149"/>
      <c r="F29" s="86"/>
      <c r="G29" s="111"/>
      <c r="H29" s="111"/>
      <c r="I29" s="111"/>
      <c r="J29" s="111"/>
      <c r="K29" s="111"/>
      <c r="M29" s="111"/>
    </row>
    <row r="30" spans="1:6" ht="11.25">
      <c r="A30" s="148">
        <v>9</v>
      </c>
      <c r="B30" s="122">
        <f t="shared" si="1"/>
        <v>1433.33</v>
      </c>
      <c r="C30" s="123">
        <v>1638.07</v>
      </c>
      <c r="D30" s="123">
        <v>58.38</v>
      </c>
      <c r="E30" s="149"/>
      <c r="F30" s="86"/>
    </row>
    <row r="31" spans="1:13" ht="11.25">
      <c r="A31" s="148">
        <v>10</v>
      </c>
      <c r="B31" s="122">
        <f t="shared" si="1"/>
        <v>1638.08</v>
      </c>
      <c r="C31" s="123">
        <v>1699.88</v>
      </c>
      <c r="D31" s="123">
        <v>50.12</v>
      </c>
      <c r="E31" s="149"/>
      <c r="F31" s="86"/>
      <c r="G31" s="150" t="s">
        <v>91</v>
      </c>
      <c r="H31" s="150"/>
      <c r="I31" s="150"/>
      <c r="J31" s="111"/>
      <c r="K31" s="111"/>
      <c r="M31" s="111"/>
    </row>
    <row r="32" spans="1:13" ht="11.25">
      <c r="A32" s="148">
        <v>11</v>
      </c>
      <c r="B32" s="122">
        <f t="shared" si="1"/>
        <v>1699.89</v>
      </c>
      <c r="C32" s="123">
        <v>99999999</v>
      </c>
      <c r="D32" s="123">
        <v>0</v>
      </c>
      <c r="E32" s="149"/>
      <c r="F32" s="86"/>
      <c r="G32" s="150"/>
      <c r="H32" s="150"/>
      <c r="I32" s="150"/>
      <c r="J32" s="111"/>
      <c r="K32" s="111"/>
      <c r="M32" s="111"/>
    </row>
    <row r="33" spans="1:13" ht="11.25">
      <c r="A33" s="148"/>
      <c r="B33" s="122"/>
      <c r="C33" s="123"/>
      <c r="D33" s="123"/>
      <c r="E33" s="149"/>
      <c r="F33" s="86"/>
      <c r="G33" s="150"/>
      <c r="H33" s="125" t="s">
        <v>92</v>
      </c>
      <c r="I33" s="125"/>
      <c r="J33" s="111"/>
      <c r="K33" s="132">
        <f>+K28</f>
        <v>656.8800000000001</v>
      </c>
      <c r="M33" s="132">
        <f>+M28</f>
        <v>992.8800000000001</v>
      </c>
    </row>
    <row r="34" spans="1:13" ht="11.25">
      <c r="A34" s="151"/>
      <c r="B34" s="152"/>
      <c r="C34" s="123"/>
      <c r="D34" s="123"/>
      <c r="E34" s="153"/>
      <c r="F34" s="86"/>
      <c r="G34" s="125"/>
      <c r="H34" s="125" t="s">
        <v>93</v>
      </c>
      <c r="J34" s="111"/>
      <c r="K34" s="154">
        <f>VLOOKUP(K33,SemIsr,1)</f>
        <v>114.25</v>
      </c>
      <c r="M34" s="154">
        <f>VLOOKUP(M33,SemIsr,1)</f>
        <v>969.51</v>
      </c>
    </row>
    <row r="35" spans="1:13" ht="11.25">
      <c r="A35" s="111"/>
      <c r="B35" s="111"/>
      <c r="C35" s="111"/>
      <c r="D35" s="111"/>
      <c r="E35" s="119"/>
      <c r="F35" s="86"/>
      <c r="G35" s="111"/>
      <c r="H35" s="125" t="s">
        <v>94</v>
      </c>
      <c r="I35" s="125"/>
      <c r="J35" s="111"/>
      <c r="K35" s="120">
        <f>K33-K34</f>
        <v>542.6300000000001</v>
      </c>
      <c r="M35" s="120">
        <f>M33-M34</f>
        <v>23.37000000000012</v>
      </c>
    </row>
    <row r="36" spans="2:13" ht="12.75">
      <c r="B36" s="155"/>
      <c r="C36" s="155"/>
      <c r="D36" s="155"/>
      <c r="E36" s="156"/>
      <c r="F36" s="86"/>
      <c r="G36" s="125"/>
      <c r="H36" s="125" t="s">
        <v>95</v>
      </c>
      <c r="J36" s="111"/>
      <c r="K36" s="157">
        <f>VLOOKUP(K33,SemIsr,4)</f>
        <v>0.064</v>
      </c>
      <c r="M36" s="157">
        <f>VLOOKUP(M33,SemIsr,4)</f>
        <v>0.1088</v>
      </c>
    </row>
    <row r="37" spans="1:13" ht="11.25">
      <c r="A37" s="158"/>
      <c r="B37" s="159"/>
      <c r="C37" s="160"/>
      <c r="D37" s="159"/>
      <c r="E37" s="161"/>
      <c r="F37" s="86"/>
      <c r="G37" s="111"/>
      <c r="H37" s="125" t="s">
        <v>96</v>
      </c>
      <c r="I37" s="111"/>
      <c r="J37" s="111"/>
      <c r="K37" s="120">
        <f>ROUND(K35*K36,2)</f>
        <v>34.73</v>
      </c>
      <c r="M37" s="120">
        <f>ROUND(M35*M36,2)</f>
        <v>2.54</v>
      </c>
    </row>
    <row r="38" spans="1:13" ht="11.25">
      <c r="A38" s="162"/>
      <c r="B38" s="163"/>
      <c r="C38" s="164"/>
      <c r="D38" s="165"/>
      <c r="E38" s="166"/>
      <c r="F38" s="86"/>
      <c r="G38" s="125"/>
      <c r="H38" s="125" t="s">
        <v>97</v>
      </c>
      <c r="I38" s="125"/>
      <c r="J38" s="111"/>
      <c r="K38" s="154">
        <f>VLOOKUP(K33,SemIsr,3)</f>
        <v>2.17</v>
      </c>
      <c r="M38" s="154">
        <f>VLOOKUP(M33,SemIsr,3)</f>
        <v>56.91</v>
      </c>
    </row>
    <row r="39" spans="1:13" ht="13.5" thickBot="1">
      <c r="A39" s="167"/>
      <c r="B39" s="168"/>
      <c r="C39" s="169"/>
      <c r="D39" s="170"/>
      <c r="E39" s="167"/>
      <c r="F39" s="86"/>
      <c r="G39" s="150" t="s">
        <v>98</v>
      </c>
      <c r="H39" s="155"/>
      <c r="I39" s="111"/>
      <c r="J39" s="111"/>
      <c r="K39" s="130">
        <f>K37+K38</f>
        <v>36.9</v>
      </c>
      <c r="M39" s="130">
        <f>M37+M38</f>
        <v>59.449999999999996</v>
      </c>
    </row>
    <row r="40" spans="1:13" ht="13.5" thickTop="1">
      <c r="A40" s="167"/>
      <c r="B40" s="171"/>
      <c r="C40" s="172"/>
      <c r="D40" s="167"/>
      <c r="E40" s="167"/>
      <c r="F40" s="86"/>
      <c r="G40" s="155"/>
      <c r="H40" s="125"/>
      <c r="I40" s="125"/>
      <c r="J40" s="111"/>
      <c r="K40" s="155"/>
      <c r="M40" s="155"/>
    </row>
    <row r="41" spans="6:13" ht="11.25">
      <c r="F41" s="86"/>
      <c r="G41" s="138" t="s">
        <v>99</v>
      </c>
      <c r="H41" s="138"/>
      <c r="I41" s="138"/>
      <c r="J41" s="111"/>
      <c r="K41" s="111"/>
      <c r="M41" s="111"/>
    </row>
    <row r="42" spans="1:13" ht="12" thickBot="1">
      <c r="A42" s="167"/>
      <c r="B42" s="171"/>
      <c r="C42" s="172"/>
      <c r="D42" s="167"/>
      <c r="E42" s="167"/>
      <c r="F42" s="86"/>
      <c r="G42" s="129"/>
      <c r="H42" s="129" t="s">
        <v>100</v>
      </c>
      <c r="I42" s="129"/>
      <c r="J42" s="111"/>
      <c r="K42" s="173">
        <f>VLOOKUP(K33,SemSubsEmpleo,3)</f>
        <v>93.66</v>
      </c>
      <c r="M42" s="173">
        <f>VLOOKUP(M33,SemSubsEmpleo,3)</f>
        <v>88.06</v>
      </c>
    </row>
    <row r="43" spans="6:13" ht="12" thickTop="1">
      <c r="F43" s="86"/>
      <c r="G43" s="93"/>
      <c r="H43" s="125"/>
      <c r="I43" s="125"/>
      <c r="J43" s="111"/>
      <c r="K43" s="120"/>
      <c r="M43" s="120"/>
    </row>
    <row r="44" spans="6:13" ht="12" thickBot="1">
      <c r="F44" s="86"/>
      <c r="G44" s="93" t="s">
        <v>111</v>
      </c>
      <c r="H44" s="111"/>
      <c r="I44" s="111"/>
      <c r="J44" s="111"/>
      <c r="K44" s="174">
        <f>K39-K42</f>
        <v>-56.76</v>
      </c>
      <c r="L44" s="175"/>
      <c r="M44" s="174">
        <f>M39-M42</f>
        <v>-28.610000000000007</v>
      </c>
    </row>
    <row r="45" spans="6:13" ht="12" thickTop="1">
      <c r="F45" s="86"/>
      <c r="G45" s="86"/>
      <c r="H45" s="86"/>
      <c r="I45" s="86"/>
      <c r="J45" s="119"/>
      <c r="K45" s="175"/>
      <c r="M45" s="175"/>
    </row>
    <row r="46" spans="1:13" ht="11.25">
      <c r="A46" s="176"/>
      <c r="B46" s="177"/>
      <c r="C46" s="177"/>
      <c r="D46" s="177"/>
      <c r="E46" s="178"/>
      <c r="F46" s="86"/>
      <c r="G46" s="119"/>
      <c r="H46" s="119"/>
      <c r="I46" s="119"/>
      <c r="J46" s="179" t="s">
        <v>101</v>
      </c>
      <c r="K46" s="180">
        <f>+K17</f>
        <v>656.8800000000001</v>
      </c>
      <c r="M46" s="180">
        <f>+M17</f>
        <v>992.8800000000001</v>
      </c>
    </row>
    <row r="47" spans="1:13" ht="11.25">
      <c r="A47" s="158"/>
      <c r="B47" s="177"/>
      <c r="C47" s="177"/>
      <c r="D47" s="177"/>
      <c r="E47" s="178"/>
      <c r="F47" s="86"/>
      <c r="G47" s="175"/>
      <c r="H47" s="175"/>
      <c r="I47" s="175"/>
      <c r="J47" s="179" t="s">
        <v>102</v>
      </c>
      <c r="K47" s="181">
        <f>+K44</f>
        <v>-56.76</v>
      </c>
      <c r="M47" s="181">
        <f>+M44</f>
        <v>-28.610000000000007</v>
      </c>
    </row>
    <row r="48" spans="1:13" ht="11.25">
      <c r="A48" s="158"/>
      <c r="B48" s="177"/>
      <c r="C48" s="177"/>
      <c r="D48" s="177"/>
      <c r="E48" s="178"/>
      <c r="F48" s="86"/>
      <c r="J48" s="179" t="s">
        <v>103</v>
      </c>
      <c r="K48" s="182">
        <f>+IMSS!I7</f>
        <v>13.5883839</v>
      </c>
      <c r="M48" s="182">
        <f>+IMSS!I8</f>
        <v>20.5389639</v>
      </c>
    </row>
    <row r="49" spans="1:13" ht="11.25">
      <c r="A49" s="158"/>
      <c r="B49" s="177"/>
      <c r="C49" s="177"/>
      <c r="D49" s="177"/>
      <c r="E49" s="178"/>
      <c r="F49" s="175"/>
      <c r="J49" s="179" t="s">
        <v>104</v>
      </c>
      <c r="K49" s="182"/>
      <c r="M49" s="182"/>
    </row>
    <row r="50" spans="6:13" ht="11.25">
      <c r="F50" s="175"/>
      <c r="J50" s="179" t="s">
        <v>105</v>
      </c>
      <c r="K50" s="182"/>
      <c r="M50" s="182"/>
    </row>
    <row r="51" spans="6:13" ht="11.25">
      <c r="F51" s="175"/>
      <c r="K51" s="182"/>
      <c r="M51" s="182"/>
    </row>
    <row r="52" spans="10:13" ht="11.25">
      <c r="J52" s="183" t="s">
        <v>106</v>
      </c>
      <c r="K52" s="182">
        <f>+K46-K47-K48-K49-K50</f>
        <v>700.0516161</v>
      </c>
      <c r="M52" s="182">
        <f>+M46-M47-M48-M49-M50</f>
        <v>1000.9510361000001</v>
      </c>
    </row>
    <row r="53" spans="1:5" ht="11.25">
      <c r="A53" s="158"/>
      <c r="B53" s="177"/>
      <c r="C53" s="177"/>
      <c r="D53" s="177"/>
      <c r="E53" s="178"/>
    </row>
    <row r="54" spans="1:13" ht="11.25">
      <c r="A54" s="158"/>
      <c r="B54" s="177"/>
      <c r="C54" s="177"/>
      <c r="D54" s="177"/>
      <c r="E54" s="178"/>
      <c r="J54" s="183" t="s">
        <v>107</v>
      </c>
      <c r="K54" s="184">
        <v>1.0452</v>
      </c>
      <c r="M54" s="184">
        <v>1.0452</v>
      </c>
    </row>
    <row r="55" spans="1:5" ht="11.25">
      <c r="A55" s="177"/>
      <c r="B55" s="177"/>
      <c r="C55" s="177"/>
      <c r="D55" s="177"/>
      <c r="E55" s="178"/>
    </row>
    <row r="56" spans="1:13" ht="11.25">
      <c r="A56" s="185"/>
      <c r="B56" s="186"/>
      <c r="C56" s="187"/>
      <c r="D56" s="187"/>
      <c r="E56" s="188"/>
      <c r="J56" s="189" t="s">
        <v>151</v>
      </c>
      <c r="K56" s="126">
        <f>(K8+K9)*2%</f>
        <v>10.948000000000002</v>
      </c>
      <c r="M56" s="126">
        <f>(M8+M9)*1.5%</f>
        <v>12.411000000000001</v>
      </c>
    </row>
    <row r="57" spans="1:8" ht="11.25">
      <c r="A57" s="185"/>
      <c r="B57" s="186"/>
      <c r="C57" s="187"/>
      <c r="D57" s="187"/>
      <c r="E57" s="188"/>
      <c r="G57" s="190"/>
      <c r="H57" s="190"/>
    </row>
    <row r="58" spans="1:5" ht="11.25">
      <c r="A58" s="185"/>
      <c r="B58" s="186"/>
      <c r="C58" s="187"/>
      <c r="D58" s="187"/>
      <c r="E58" s="188"/>
    </row>
    <row r="59" spans="1:5" ht="11.25">
      <c r="A59" s="185"/>
      <c r="B59" s="186"/>
      <c r="C59" s="187"/>
      <c r="D59" s="187"/>
      <c r="E59" s="188"/>
    </row>
    <row r="60" spans="1:5" ht="11.25">
      <c r="A60" s="185"/>
      <c r="B60" s="186"/>
      <c r="C60" s="187"/>
      <c r="D60" s="187"/>
      <c r="E60" s="188"/>
    </row>
    <row r="61" spans="1:5" ht="11.25">
      <c r="A61" s="185"/>
      <c r="B61" s="186"/>
      <c r="C61" s="187"/>
      <c r="D61" s="187"/>
      <c r="E61" s="188"/>
    </row>
    <row r="62" spans="1:5" ht="11.25">
      <c r="A62" s="185"/>
      <c r="B62" s="186"/>
      <c r="C62" s="187"/>
      <c r="D62" s="187"/>
      <c r="E62" s="188"/>
    </row>
    <row r="63" spans="1:5" ht="11.25">
      <c r="A63" s="191"/>
      <c r="B63" s="186"/>
      <c r="C63" s="187"/>
      <c r="D63" s="187"/>
      <c r="E63" s="188"/>
    </row>
    <row r="64" spans="1:5" ht="11.25">
      <c r="A64" s="191"/>
      <c r="B64" s="186"/>
      <c r="C64" s="187"/>
      <c r="D64" s="187"/>
      <c r="E64" s="188"/>
    </row>
    <row r="65" spans="1:5" ht="11.25">
      <c r="A65" s="191"/>
      <c r="B65" s="186"/>
      <c r="C65" s="187"/>
      <c r="D65" s="187"/>
      <c r="E65" s="188"/>
    </row>
    <row r="66" spans="1:5" ht="11.25">
      <c r="A66" s="158"/>
      <c r="B66" s="159"/>
      <c r="C66" s="159"/>
      <c r="D66" s="159"/>
      <c r="E66" s="161"/>
    </row>
    <row r="67" spans="1:5" ht="12.75">
      <c r="A67" s="192"/>
      <c r="B67" s="193"/>
      <c r="C67" s="194"/>
      <c r="D67" s="193"/>
      <c r="E67" s="195"/>
    </row>
    <row r="68" spans="1:5" ht="11.25">
      <c r="A68" s="196"/>
      <c r="B68" s="177"/>
      <c r="C68" s="177"/>
      <c r="D68" s="177"/>
      <c r="E68" s="178"/>
    </row>
    <row r="69" spans="1:5" ht="11.25">
      <c r="A69" s="196"/>
      <c r="B69" s="177"/>
      <c r="C69" s="177"/>
      <c r="D69" s="177"/>
      <c r="E69" s="178"/>
    </row>
    <row r="70" spans="1:5" ht="11.25">
      <c r="A70" s="162"/>
      <c r="B70" s="177"/>
      <c r="C70" s="177"/>
      <c r="D70" s="177"/>
      <c r="E70" s="178"/>
    </row>
    <row r="71" spans="1:5" ht="11.25">
      <c r="A71" s="177"/>
      <c r="B71" s="177"/>
      <c r="C71" s="177"/>
      <c r="D71" s="177"/>
      <c r="E71" s="178"/>
    </row>
    <row r="72" spans="1:5" ht="11.25">
      <c r="A72" s="185"/>
      <c r="B72" s="186"/>
      <c r="C72" s="186"/>
      <c r="D72" s="197"/>
      <c r="E72" s="188"/>
    </row>
    <row r="73" spans="1:5" ht="11.25">
      <c r="A73" s="185"/>
      <c r="B73" s="186"/>
      <c r="C73" s="186"/>
      <c r="D73" s="197"/>
      <c r="E73" s="188"/>
    </row>
    <row r="74" spans="1:5" ht="11.25">
      <c r="A74" s="185"/>
      <c r="B74" s="186"/>
      <c r="C74" s="186"/>
      <c r="D74" s="197"/>
      <c r="E74" s="188"/>
    </row>
    <row r="75" spans="1:5" ht="11.25">
      <c r="A75" s="185"/>
      <c r="B75" s="186"/>
      <c r="C75" s="186"/>
      <c r="D75" s="197"/>
      <c r="E75" s="188"/>
    </row>
    <row r="76" spans="1:5" ht="11.25">
      <c r="A76" s="185"/>
      <c r="B76" s="186"/>
      <c r="C76" s="186"/>
      <c r="D76" s="197"/>
      <c r="E76" s="188"/>
    </row>
    <row r="77" spans="1:5" ht="11.25">
      <c r="A77" s="185"/>
      <c r="B77" s="186"/>
      <c r="C77" s="186"/>
      <c r="D77" s="197"/>
      <c r="E77" s="188"/>
    </row>
    <row r="78" spans="1:5" ht="11.25">
      <c r="A78" s="185"/>
      <c r="B78" s="186"/>
      <c r="C78" s="186"/>
      <c r="D78" s="197"/>
      <c r="E78" s="188"/>
    </row>
    <row r="79" spans="1:5" ht="11.25">
      <c r="A79" s="185"/>
      <c r="B79" s="186"/>
      <c r="C79" s="186"/>
      <c r="D79" s="197"/>
      <c r="E79" s="188"/>
    </row>
    <row r="80" spans="1:5" ht="11.25">
      <c r="A80" s="185"/>
      <c r="B80" s="186"/>
      <c r="C80" s="186"/>
      <c r="D80" s="197"/>
      <c r="E80" s="188"/>
    </row>
    <row r="81" spans="1:5" ht="11.25">
      <c r="A81" s="185"/>
      <c r="B81" s="186"/>
      <c r="C81" s="186"/>
      <c r="D81" s="197"/>
      <c r="E81" s="188"/>
    </row>
    <row r="82" spans="1:5" ht="11.25">
      <c r="A82" s="158"/>
      <c r="B82" s="159"/>
      <c r="C82" s="159"/>
      <c r="D82" s="159"/>
      <c r="E82" s="161"/>
    </row>
    <row r="83" spans="1:5" ht="11.25">
      <c r="A83" s="198"/>
      <c r="B83" s="199"/>
      <c r="C83" s="199"/>
      <c r="D83" s="199"/>
      <c r="E83" s="166"/>
    </row>
    <row r="84" spans="1:5" ht="11.25">
      <c r="A84" s="162"/>
      <c r="B84" s="200"/>
      <c r="C84" s="200"/>
      <c r="D84" s="200"/>
      <c r="E84" s="188"/>
    </row>
    <row r="85" spans="1:5" ht="11.25">
      <c r="A85" s="201"/>
      <c r="B85" s="199"/>
      <c r="C85" s="199"/>
      <c r="D85" s="199"/>
      <c r="E85" s="166"/>
    </row>
    <row r="86" spans="1:5" ht="11.25">
      <c r="A86" s="185"/>
      <c r="B86" s="187"/>
      <c r="C86" s="187"/>
      <c r="D86" s="202"/>
      <c r="E86" s="188"/>
    </row>
    <row r="87" spans="1:5" ht="11.25">
      <c r="A87" s="185"/>
      <c r="B87" s="186"/>
      <c r="C87" s="187"/>
      <c r="D87" s="202"/>
      <c r="E87" s="188"/>
    </row>
    <row r="88" spans="1:5" ht="11.25">
      <c r="A88" s="185"/>
      <c r="B88" s="186"/>
      <c r="C88" s="187"/>
      <c r="D88" s="202"/>
      <c r="E88" s="188"/>
    </row>
    <row r="89" spans="1:5" ht="11.25">
      <c r="A89" s="185"/>
      <c r="B89" s="186"/>
      <c r="C89" s="187"/>
      <c r="D89" s="202"/>
      <c r="E89" s="188"/>
    </row>
    <row r="90" spans="1:5" ht="11.25">
      <c r="A90" s="185"/>
      <c r="B90" s="186"/>
      <c r="C90" s="187"/>
      <c r="D90" s="202"/>
      <c r="E90" s="188"/>
    </row>
    <row r="91" spans="1:5" ht="11.25">
      <c r="A91" s="185"/>
      <c r="B91" s="186"/>
      <c r="C91" s="187"/>
      <c r="D91" s="202"/>
      <c r="E91" s="188"/>
    </row>
    <row r="92" spans="1:5" ht="11.25">
      <c r="A92" s="185"/>
      <c r="B92" s="186"/>
      <c r="C92" s="187"/>
      <c r="D92" s="202"/>
      <c r="E92" s="188"/>
    </row>
    <row r="93" spans="1:5" ht="11.25">
      <c r="A93" s="203"/>
      <c r="B93" s="186"/>
      <c r="C93" s="187"/>
      <c r="D93" s="202"/>
      <c r="E93" s="166"/>
    </row>
    <row r="94" spans="1:5" ht="11.25">
      <c r="A94" s="203"/>
      <c r="B94" s="186"/>
      <c r="C94" s="187"/>
      <c r="D94" s="202"/>
      <c r="E94" s="166"/>
    </row>
    <row r="95" spans="1:5" ht="11.25">
      <c r="A95" s="203"/>
      <c r="B95" s="186"/>
      <c r="C95" s="187"/>
      <c r="D95" s="202"/>
      <c r="E95" s="166"/>
    </row>
    <row r="96" spans="1:5" ht="11.25">
      <c r="A96" s="203"/>
      <c r="B96" s="186"/>
      <c r="C96" s="187"/>
      <c r="D96" s="202"/>
      <c r="E96" s="166"/>
    </row>
    <row r="97" spans="1:5" ht="11.25">
      <c r="A97" s="203"/>
      <c r="B97" s="186"/>
      <c r="C97" s="187"/>
      <c r="D97" s="202"/>
      <c r="E97" s="166"/>
    </row>
    <row r="98" spans="1:5" ht="11.25">
      <c r="A98" s="204"/>
      <c r="B98" s="186"/>
      <c r="C98" s="187"/>
      <c r="D98" s="202"/>
      <c r="E98" s="166"/>
    </row>
    <row r="99" spans="1:5" ht="11.25">
      <c r="A99" s="205"/>
      <c r="B99" s="205"/>
      <c r="C99" s="205"/>
      <c r="D99" s="205"/>
      <c r="E99" s="205"/>
    </row>
    <row r="100" spans="1:5" ht="11.25">
      <c r="A100" s="205"/>
      <c r="B100" s="205"/>
      <c r="C100" s="205"/>
      <c r="D100" s="205"/>
      <c r="E100" s="205"/>
    </row>
    <row r="101" spans="1:5" ht="11.25">
      <c r="A101" s="205"/>
      <c r="B101" s="205"/>
      <c r="C101" s="205"/>
      <c r="D101" s="205"/>
      <c r="E101" s="205"/>
    </row>
    <row r="102" spans="1:5" ht="11.25">
      <c r="A102" s="205"/>
      <c r="B102" s="205"/>
      <c r="C102" s="205"/>
      <c r="D102" s="205"/>
      <c r="E102" s="205"/>
    </row>
    <row r="103" spans="1:5" ht="11.25">
      <c r="A103" s="205"/>
      <c r="B103" s="205"/>
      <c r="C103" s="205"/>
      <c r="D103" s="205"/>
      <c r="E103" s="205"/>
    </row>
    <row r="104" spans="1:5" ht="11.25">
      <c r="A104" s="205"/>
      <c r="B104" s="205"/>
      <c r="C104" s="205"/>
      <c r="D104" s="205"/>
      <c r="E104" s="205"/>
    </row>
    <row r="105" spans="1:5" ht="11.25">
      <c r="A105" s="205"/>
      <c r="B105" s="205"/>
      <c r="C105" s="205"/>
      <c r="D105" s="205"/>
      <c r="E105" s="205"/>
    </row>
    <row r="106" spans="1:5" ht="11.25">
      <c r="A106" s="205"/>
      <c r="B106" s="205"/>
      <c r="C106" s="205"/>
      <c r="D106" s="205"/>
      <c r="E106" s="205"/>
    </row>
    <row r="107" spans="1:5" ht="11.25">
      <c r="A107" s="205"/>
      <c r="B107" s="205"/>
      <c r="C107" s="205"/>
      <c r="D107" s="205"/>
      <c r="E107" s="205"/>
    </row>
    <row r="108" spans="1:5" ht="11.25">
      <c r="A108" s="205"/>
      <c r="B108" s="205"/>
      <c r="C108" s="205"/>
      <c r="D108" s="205"/>
      <c r="E108" s="205"/>
    </row>
    <row r="109" spans="1:5" ht="11.25">
      <c r="A109" s="205"/>
      <c r="B109" s="205"/>
      <c r="C109" s="205"/>
      <c r="D109" s="205"/>
      <c r="E109" s="205"/>
    </row>
    <row r="110" spans="1:5" ht="11.25">
      <c r="A110" s="205"/>
      <c r="B110" s="205"/>
      <c r="C110" s="205"/>
      <c r="D110" s="205"/>
      <c r="E110" s="205"/>
    </row>
    <row r="111" spans="1:5" ht="11.25">
      <c r="A111" s="205"/>
      <c r="B111" s="205"/>
      <c r="C111" s="205"/>
      <c r="D111" s="205"/>
      <c r="E111" s="205"/>
    </row>
    <row r="112" spans="1:5" ht="11.25">
      <c r="A112" s="205"/>
      <c r="B112" s="205"/>
      <c r="C112" s="205"/>
      <c r="D112" s="205"/>
      <c r="E112" s="205"/>
    </row>
    <row r="113" spans="1:5" ht="11.25">
      <c r="A113" s="205"/>
      <c r="B113" s="205"/>
      <c r="C113" s="205"/>
      <c r="D113" s="205"/>
      <c r="E113" s="205"/>
    </row>
    <row r="114" spans="1:5" ht="11.25">
      <c r="A114" s="205"/>
      <c r="B114" s="205"/>
      <c r="C114" s="205"/>
      <c r="D114" s="205"/>
      <c r="E114" s="205"/>
    </row>
    <row r="115" spans="1:5" ht="11.25">
      <c r="A115" s="205"/>
      <c r="B115" s="205"/>
      <c r="C115" s="205"/>
      <c r="D115" s="205"/>
      <c r="E115" s="205"/>
    </row>
    <row r="116" spans="1:5" ht="11.25">
      <c r="A116" s="205"/>
      <c r="B116" s="205"/>
      <c r="C116" s="205"/>
      <c r="D116" s="205"/>
      <c r="E116" s="205"/>
    </row>
    <row r="117" spans="1:5" ht="11.25">
      <c r="A117" s="205"/>
      <c r="B117" s="205"/>
      <c r="C117" s="205"/>
      <c r="D117" s="205"/>
      <c r="E117" s="205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8" sqref="C8"/>
    </sheetView>
  </sheetViews>
  <sheetFormatPr defaultColWidth="12" defaultRowHeight="11.25"/>
  <cols>
    <col min="1" max="1" width="15.16015625" style="207" customWidth="1"/>
    <col min="2" max="2" width="38.5" style="207" customWidth="1"/>
    <col min="3" max="3" width="11.66015625" style="207" customWidth="1"/>
    <col min="4" max="6" width="12" style="207" customWidth="1"/>
    <col min="7" max="7" width="14.33203125" style="207" customWidth="1"/>
    <col min="8" max="8" width="15.16015625" style="207" customWidth="1"/>
    <col min="9" max="9" width="16" style="207" customWidth="1"/>
    <col min="10" max="10" width="13.83203125" style="207" bestFit="1" customWidth="1"/>
    <col min="11" max="16384" width="12" style="207" customWidth="1"/>
  </cols>
  <sheetData>
    <row r="1" ht="11.25">
      <c r="A1" s="206" t="str">
        <f>+'Costo ISR'!G1</f>
        <v>Patrón</v>
      </c>
    </row>
    <row r="2" ht="11.25">
      <c r="A2" s="208" t="s">
        <v>112</v>
      </c>
    </row>
    <row r="3" spans="1:9" ht="11.25">
      <c r="A3" s="209" t="str">
        <f>+H4</f>
        <v>Año 2013</v>
      </c>
      <c r="I3" s="210"/>
    </row>
    <row r="4" ht="11.25">
      <c r="H4" s="210" t="s">
        <v>141</v>
      </c>
    </row>
    <row r="5" spans="1:9" ht="11.25">
      <c r="A5" s="211" t="s">
        <v>113</v>
      </c>
      <c r="B5" s="211" t="s">
        <v>114</v>
      </c>
      <c r="C5" s="212" t="s">
        <v>115</v>
      </c>
      <c r="D5" s="211" t="s">
        <v>116</v>
      </c>
      <c r="E5" s="211" t="s">
        <v>115</v>
      </c>
      <c r="F5" s="211" t="s">
        <v>117</v>
      </c>
      <c r="G5" s="211" t="s">
        <v>118</v>
      </c>
      <c r="H5" s="213">
        <v>0.004</v>
      </c>
      <c r="I5" s="211" t="s">
        <v>119</v>
      </c>
    </row>
    <row r="6" spans="1:9" ht="11.25">
      <c r="A6" s="214"/>
      <c r="B6" s="214"/>
      <c r="C6" s="215" t="s">
        <v>120</v>
      </c>
      <c r="D6" s="216" t="s">
        <v>121</v>
      </c>
      <c r="E6" s="216" t="s">
        <v>122</v>
      </c>
      <c r="F6" s="216" t="s">
        <v>0</v>
      </c>
      <c r="G6" s="216" t="s">
        <v>0</v>
      </c>
      <c r="H6" s="217" t="s">
        <v>123</v>
      </c>
      <c r="I6" s="216" t="s">
        <v>124</v>
      </c>
    </row>
    <row r="7" spans="1:9" ht="11.25">
      <c r="A7" s="218">
        <v>1</v>
      </c>
      <c r="B7" s="219" t="s">
        <v>56</v>
      </c>
      <c r="C7" s="220">
        <f>+'Costo ISR'!K9*'Costo ISR'!K54</f>
        <v>81.73464</v>
      </c>
      <c r="D7" s="218">
        <v>7</v>
      </c>
      <c r="E7" s="221">
        <f aca="true" t="shared" si="0" ref="E7:E17">+C7*D7</f>
        <v>572.14248</v>
      </c>
      <c r="F7" s="222">
        <f>+D25</f>
        <v>0.02375</v>
      </c>
      <c r="G7" s="221">
        <f aca="true" t="shared" si="1" ref="G7:G17">+E7*F7</f>
        <v>13.5883839</v>
      </c>
      <c r="H7" s="223">
        <f>IF(E7&gt;$G$28,((E7-$G$28)*$H$5),0)</f>
        <v>0</v>
      </c>
      <c r="I7" s="221">
        <f>IF(C7&lt;=$H$29,0,G7+H7)</f>
        <v>13.5883839</v>
      </c>
    </row>
    <row r="8" spans="1:9" ht="11.25">
      <c r="A8" s="224">
        <v>2</v>
      </c>
      <c r="B8" s="225" t="s">
        <v>56</v>
      </c>
      <c r="C8" s="226">
        <f>+'Costo ISR'!M9*'Costo ISR'!M54</f>
        <v>123.54263999999999</v>
      </c>
      <c r="D8" s="224">
        <v>7</v>
      </c>
      <c r="E8" s="223">
        <f t="shared" si="0"/>
        <v>864.7984799999999</v>
      </c>
      <c r="F8" s="227">
        <f aca="true" t="shared" si="2" ref="F8:F17">+F7</f>
        <v>0.02375</v>
      </c>
      <c r="G8" s="223">
        <f t="shared" si="1"/>
        <v>20.5389639</v>
      </c>
      <c r="H8" s="223">
        <f aca="true" t="shared" si="3" ref="H8:H17">IF(E8&gt;$G$28,((E8-$G$28)*$H$5),0)</f>
        <v>0</v>
      </c>
      <c r="I8" s="223">
        <f>IF(C8&lt;=$H$29,0,G8+H8)</f>
        <v>20.5389639</v>
      </c>
    </row>
    <row r="9" spans="1:9" ht="11.25">
      <c r="A9" s="224">
        <v>3</v>
      </c>
      <c r="B9" s="225"/>
      <c r="C9" s="226"/>
      <c r="D9" s="224"/>
      <c r="E9" s="223">
        <f t="shared" si="0"/>
        <v>0</v>
      </c>
      <c r="F9" s="227">
        <f t="shared" si="2"/>
        <v>0.02375</v>
      </c>
      <c r="G9" s="223">
        <f t="shared" si="1"/>
        <v>0</v>
      </c>
      <c r="H9" s="223">
        <f t="shared" si="3"/>
        <v>0</v>
      </c>
      <c r="I9" s="223">
        <f aca="true" t="shared" si="4" ref="I9:I17">IF(C9&lt;=$H$29,0,G9+H9)</f>
        <v>0</v>
      </c>
    </row>
    <row r="10" spans="1:9" ht="11.25">
      <c r="A10" s="224">
        <v>4</v>
      </c>
      <c r="B10" s="225"/>
      <c r="C10" s="226"/>
      <c r="D10" s="224"/>
      <c r="E10" s="223">
        <f t="shared" si="0"/>
        <v>0</v>
      </c>
      <c r="F10" s="227">
        <f t="shared" si="2"/>
        <v>0.02375</v>
      </c>
      <c r="G10" s="223">
        <f t="shared" si="1"/>
        <v>0</v>
      </c>
      <c r="H10" s="223">
        <f t="shared" si="3"/>
        <v>0</v>
      </c>
      <c r="I10" s="223">
        <f t="shared" si="4"/>
        <v>0</v>
      </c>
    </row>
    <row r="11" spans="1:9" ht="11.25">
      <c r="A11" s="224">
        <v>5</v>
      </c>
      <c r="B11" s="225"/>
      <c r="C11" s="226"/>
      <c r="D11" s="224"/>
      <c r="E11" s="223">
        <f t="shared" si="0"/>
        <v>0</v>
      </c>
      <c r="F11" s="227">
        <f>+F10</f>
        <v>0.02375</v>
      </c>
      <c r="G11" s="223">
        <f t="shared" si="1"/>
        <v>0</v>
      </c>
      <c r="H11" s="223">
        <f t="shared" si="3"/>
        <v>0</v>
      </c>
      <c r="I11" s="223">
        <f t="shared" si="4"/>
        <v>0</v>
      </c>
    </row>
    <row r="12" spans="1:9" ht="11.25">
      <c r="A12" s="224">
        <v>6</v>
      </c>
      <c r="B12" s="225"/>
      <c r="C12" s="226"/>
      <c r="D12" s="224"/>
      <c r="E12" s="223">
        <f t="shared" si="0"/>
        <v>0</v>
      </c>
      <c r="F12" s="227">
        <f>+F11</f>
        <v>0.02375</v>
      </c>
      <c r="G12" s="223">
        <f t="shared" si="1"/>
        <v>0</v>
      </c>
      <c r="H12" s="223">
        <f t="shared" si="3"/>
        <v>0</v>
      </c>
      <c r="I12" s="223">
        <f t="shared" si="4"/>
        <v>0</v>
      </c>
    </row>
    <row r="13" spans="1:9" ht="11.25">
      <c r="A13" s="224">
        <v>7</v>
      </c>
      <c r="B13" s="225"/>
      <c r="C13" s="226"/>
      <c r="D13" s="224"/>
      <c r="E13" s="223">
        <f t="shared" si="0"/>
        <v>0</v>
      </c>
      <c r="F13" s="227">
        <f>+F12</f>
        <v>0.02375</v>
      </c>
      <c r="G13" s="223">
        <f t="shared" si="1"/>
        <v>0</v>
      </c>
      <c r="H13" s="223">
        <f t="shared" si="3"/>
        <v>0</v>
      </c>
      <c r="I13" s="223">
        <f t="shared" si="4"/>
        <v>0</v>
      </c>
    </row>
    <row r="14" spans="1:9" ht="11.25">
      <c r="A14" s="224">
        <v>8</v>
      </c>
      <c r="B14" s="225"/>
      <c r="C14" s="226"/>
      <c r="D14" s="224"/>
      <c r="E14" s="223">
        <f t="shared" si="0"/>
        <v>0</v>
      </c>
      <c r="F14" s="227">
        <f>+F10</f>
        <v>0.02375</v>
      </c>
      <c r="G14" s="223">
        <f t="shared" si="1"/>
        <v>0</v>
      </c>
      <c r="H14" s="223">
        <f t="shared" si="3"/>
        <v>0</v>
      </c>
      <c r="I14" s="223">
        <f t="shared" si="4"/>
        <v>0</v>
      </c>
    </row>
    <row r="15" spans="1:9" ht="11.25">
      <c r="A15" s="224">
        <v>9</v>
      </c>
      <c r="B15" s="225"/>
      <c r="C15" s="226"/>
      <c r="D15" s="224"/>
      <c r="E15" s="223">
        <f t="shared" si="0"/>
        <v>0</v>
      </c>
      <c r="F15" s="227">
        <f t="shared" si="2"/>
        <v>0.02375</v>
      </c>
      <c r="G15" s="223">
        <f t="shared" si="1"/>
        <v>0</v>
      </c>
      <c r="H15" s="223">
        <f>IF(E15&gt;$G$32,((E15-$G$32)*$H$5),0)</f>
        <v>0</v>
      </c>
      <c r="I15" s="223">
        <f t="shared" si="4"/>
        <v>0</v>
      </c>
    </row>
    <row r="16" spans="1:9" ht="11.25">
      <c r="A16" s="224">
        <v>10</v>
      </c>
      <c r="B16" s="225"/>
      <c r="C16" s="226"/>
      <c r="D16" s="224"/>
      <c r="E16" s="223">
        <f t="shared" si="0"/>
        <v>0</v>
      </c>
      <c r="F16" s="227">
        <f t="shared" si="2"/>
        <v>0.02375</v>
      </c>
      <c r="G16" s="223">
        <f t="shared" si="1"/>
        <v>0</v>
      </c>
      <c r="H16" s="223">
        <f t="shared" si="3"/>
        <v>0</v>
      </c>
      <c r="I16" s="223">
        <f t="shared" si="4"/>
        <v>0</v>
      </c>
    </row>
    <row r="17" spans="1:9" ht="11.25">
      <c r="A17" s="224">
        <v>11</v>
      </c>
      <c r="B17" s="228"/>
      <c r="C17" s="226"/>
      <c r="D17" s="224"/>
      <c r="E17" s="223">
        <f t="shared" si="0"/>
        <v>0</v>
      </c>
      <c r="F17" s="227">
        <f t="shared" si="2"/>
        <v>0.02375</v>
      </c>
      <c r="G17" s="223">
        <f t="shared" si="1"/>
        <v>0</v>
      </c>
      <c r="H17" s="223">
        <f t="shared" si="3"/>
        <v>0</v>
      </c>
      <c r="I17" s="223">
        <f t="shared" si="4"/>
        <v>0</v>
      </c>
    </row>
    <row r="18" spans="1:9" ht="12" thickBot="1">
      <c r="A18" s="229"/>
      <c r="B18" s="230" t="s">
        <v>125</v>
      </c>
      <c r="C18" s="231"/>
      <c r="D18" s="231"/>
      <c r="E18" s="232"/>
      <c r="F18" s="233">
        <f>+D25</f>
        <v>0.02375</v>
      </c>
      <c r="G18" s="234">
        <f>SUM(G7:G16)</f>
        <v>34.127347799999995</v>
      </c>
      <c r="H18" s="234">
        <f>SUM(H7:H16)</f>
        <v>0</v>
      </c>
      <c r="I18" s="232">
        <f>SUM(I7:I16)</f>
        <v>34.127347799999995</v>
      </c>
    </row>
    <row r="19" ht="12" thickTop="1"/>
    <row r="20" spans="1:10" ht="11.25">
      <c r="A20" s="208" t="s">
        <v>126</v>
      </c>
      <c r="D20" s="208" t="s">
        <v>114</v>
      </c>
      <c r="F20" s="208"/>
      <c r="J20" s="235"/>
    </row>
    <row r="21" spans="1:10" ht="11.25">
      <c r="A21" s="207" t="s">
        <v>127</v>
      </c>
      <c r="D21" s="236">
        <v>0.00375</v>
      </c>
      <c r="E21" s="237" t="s">
        <v>128</v>
      </c>
      <c r="J21" s="235"/>
    </row>
    <row r="22" spans="1:10" ht="11.25">
      <c r="A22" s="207" t="s">
        <v>129</v>
      </c>
      <c r="D22" s="236">
        <v>0.0025</v>
      </c>
      <c r="J22" s="238"/>
    </row>
    <row r="23" spans="1:4" ht="11.25">
      <c r="A23" s="207" t="s">
        <v>130</v>
      </c>
      <c r="D23" s="236">
        <v>0.00625</v>
      </c>
    </row>
    <row r="24" spans="1:4" ht="11.25">
      <c r="A24" s="207" t="s">
        <v>131</v>
      </c>
      <c r="D24" s="239">
        <v>0.01125</v>
      </c>
    </row>
    <row r="25" ht="11.25">
      <c r="D25" s="236">
        <f>SUM(D21:D24)</f>
        <v>0.02375</v>
      </c>
    </row>
    <row r="27" spans="4:8" ht="11.25">
      <c r="D27" s="235" t="s">
        <v>132</v>
      </c>
      <c r="E27" s="235" t="s">
        <v>133</v>
      </c>
      <c r="F27" s="235" t="s">
        <v>134</v>
      </c>
      <c r="G27" s="208" t="s">
        <v>135</v>
      </c>
      <c r="H27" s="235" t="s">
        <v>136</v>
      </c>
    </row>
    <row r="28" spans="2:8" ht="11.25">
      <c r="B28" s="208" t="s">
        <v>137</v>
      </c>
      <c r="C28" s="240">
        <f>+'Costo ISR'!I5</f>
        <v>64.76</v>
      </c>
      <c r="D28" s="210">
        <f>+D7</f>
        <v>7</v>
      </c>
      <c r="E28" s="241">
        <f>+C28*D28</f>
        <v>453.32000000000005</v>
      </c>
      <c r="F28" s="210">
        <v>3</v>
      </c>
      <c r="G28" s="241">
        <f>+E28*F28</f>
        <v>1359.96</v>
      </c>
      <c r="H28" s="242">
        <f>TRUNC(C28*1.0452,2)</f>
        <v>67.68</v>
      </c>
    </row>
    <row r="29" spans="2:8" ht="11.25">
      <c r="B29" s="208" t="s">
        <v>138</v>
      </c>
      <c r="C29" s="240">
        <f>+'Costo ISR'!I4</f>
        <v>61.38</v>
      </c>
      <c r="H29" s="242">
        <f>TRUNC(C29*1.0452,2)</f>
        <v>64.15</v>
      </c>
    </row>
    <row r="32" spans="2:8" ht="11.25">
      <c r="B32" s="208" t="s">
        <v>137</v>
      </c>
      <c r="C32" s="240">
        <f>+C28</f>
        <v>64.76</v>
      </c>
      <c r="D32" s="210">
        <v>30.4</v>
      </c>
      <c r="E32" s="241">
        <f>+C32*D32</f>
        <v>1968.704</v>
      </c>
      <c r="F32" s="210">
        <v>3</v>
      </c>
      <c r="G32" s="241">
        <f>+E32*F32</f>
        <v>5906.112</v>
      </c>
      <c r="H32" s="242">
        <f>TRUNC(C32*1.0452,2)</f>
        <v>67.68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9"/>
  <sheetViews>
    <sheetView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D14" sqref="D14"/>
    </sheetView>
  </sheetViews>
  <sheetFormatPr defaultColWidth="12" defaultRowHeight="11.25"/>
  <cols>
    <col min="1" max="1" width="13.66015625" style="1" hidden="1" customWidth="1"/>
    <col min="2" max="2" width="14.83203125" style="1" hidden="1" customWidth="1"/>
    <col min="3" max="3" width="33.83203125" style="1" bestFit="1" customWidth="1"/>
    <col min="4" max="4" width="10.33203125" style="1" customWidth="1"/>
    <col min="5" max="5" width="8.66015625" style="1" customWidth="1"/>
    <col min="6" max="6" width="7.66015625" style="1" customWidth="1"/>
    <col min="7" max="7" width="14" style="1" customWidth="1"/>
    <col min="8" max="8" width="9.5" style="1" hidden="1" customWidth="1"/>
    <col min="9" max="9" width="12" style="1" customWidth="1"/>
    <col min="10" max="10" width="0" style="1" hidden="1" customWidth="1"/>
    <col min="11" max="11" width="12" style="2" customWidth="1"/>
    <col min="12" max="12" width="12.5" style="2" customWidth="1"/>
    <col min="13" max="13" width="12.33203125" style="2" bestFit="1" customWidth="1"/>
    <col min="14" max="14" width="9.16015625" style="2" bestFit="1" customWidth="1"/>
    <col min="15" max="15" width="9.5" style="2" bestFit="1" customWidth="1"/>
    <col min="16" max="16" width="10" style="2" bestFit="1" customWidth="1"/>
    <col min="17" max="17" width="9.33203125" style="2" bestFit="1" customWidth="1"/>
    <col min="18" max="18" width="9.16015625" style="2" bestFit="1" customWidth="1"/>
    <col min="19" max="19" width="9.33203125" style="2" bestFit="1" customWidth="1"/>
    <col min="20" max="20" width="9.16015625" style="2" bestFit="1" customWidth="1"/>
    <col min="21" max="21" width="9.33203125" style="2" bestFit="1" customWidth="1"/>
    <col min="22" max="22" width="11.33203125" style="2" customWidth="1"/>
    <col min="23" max="25" width="9.16015625" style="2" bestFit="1" customWidth="1"/>
    <col min="26" max="26" width="9.33203125" style="2" bestFit="1" customWidth="1"/>
    <col min="27" max="27" width="7.5" style="2" bestFit="1" customWidth="1"/>
    <col min="28" max="29" width="11.16015625" style="2" bestFit="1" customWidth="1"/>
    <col min="30" max="30" width="9.16015625" style="2" bestFit="1" customWidth="1"/>
    <col min="31" max="31" width="9" style="2" customWidth="1"/>
    <col min="32" max="32" width="5.83203125" style="2" customWidth="1"/>
    <col min="33" max="16384" width="12" style="2" customWidth="1"/>
  </cols>
  <sheetData>
    <row r="1" spans="2:3" ht="12">
      <c r="B1" s="63"/>
      <c r="C1" s="62" t="s">
        <v>110</v>
      </c>
    </row>
    <row r="2" spans="3:14" ht="12">
      <c r="C2" s="4" t="s">
        <v>39</v>
      </c>
      <c r="E2" s="69"/>
      <c r="F2" s="1" t="s">
        <v>44</v>
      </c>
      <c r="L2" s="2" t="s">
        <v>48</v>
      </c>
      <c r="N2" s="80">
        <v>24</v>
      </c>
    </row>
    <row r="3" spans="3:14" ht="12">
      <c r="C3" s="4" t="s">
        <v>40</v>
      </c>
      <c r="E3" s="70"/>
      <c r="F3" s="1" t="s">
        <v>45</v>
      </c>
      <c r="L3" s="2" t="s">
        <v>49</v>
      </c>
      <c r="N3" s="80">
        <v>25</v>
      </c>
    </row>
    <row r="4" s="3" customFormat="1" ht="12">
      <c r="C4" s="65" t="s">
        <v>142</v>
      </c>
    </row>
    <row r="5" spans="1:31" s="3" customFormat="1" ht="12">
      <c r="A5" s="21"/>
      <c r="B5" s="21"/>
      <c r="C5" s="21"/>
      <c r="D5" s="21"/>
      <c r="E5" s="261" t="s">
        <v>43</v>
      </c>
      <c r="F5" s="262"/>
      <c r="G5" s="263"/>
      <c r="H5" s="21"/>
      <c r="I5" s="40">
        <f>+'Costo ISR'!I5</f>
        <v>64.76</v>
      </c>
      <c r="J5" s="46"/>
      <c r="K5" s="41" t="s">
        <v>1</v>
      </c>
      <c r="L5" s="48">
        <f>+I5</f>
        <v>64.76</v>
      </c>
      <c r="M5" s="51"/>
      <c r="N5" s="49"/>
      <c r="O5" s="41" t="s">
        <v>2</v>
      </c>
      <c r="P5" s="42">
        <f>+I5*3</f>
        <v>194.28000000000003</v>
      </c>
      <c r="Q5" s="53"/>
      <c r="R5" s="22"/>
      <c r="S5" s="22"/>
      <c r="T5" s="22"/>
      <c r="U5" s="22"/>
      <c r="V5" s="22"/>
      <c r="W5" s="22"/>
      <c r="X5" s="57"/>
      <c r="Y5" s="57"/>
      <c r="Z5" s="57"/>
      <c r="AA5" s="22"/>
      <c r="AB5" s="57"/>
      <c r="AC5" s="22"/>
      <c r="AD5" s="22"/>
      <c r="AE5" s="22"/>
    </row>
    <row r="6" spans="1:31" s="3" customFormat="1" ht="12">
      <c r="A6" s="38"/>
      <c r="B6" s="39"/>
      <c r="C6" s="38"/>
      <c r="D6" s="38"/>
      <c r="E6" s="22"/>
      <c r="F6" s="22" t="s">
        <v>1</v>
      </c>
      <c r="G6" s="37">
        <v>25</v>
      </c>
      <c r="H6" s="22"/>
      <c r="I6" s="43">
        <f>+G6*I5</f>
        <v>1619.0000000000002</v>
      </c>
      <c r="J6" s="47"/>
      <c r="K6" s="68">
        <v>25</v>
      </c>
      <c r="L6" s="44">
        <f>+L5*K6</f>
        <v>1619.0000000000002</v>
      </c>
      <c r="M6" s="52"/>
      <c r="N6" s="50"/>
      <c r="O6" s="45"/>
      <c r="P6" s="45"/>
      <c r="Q6" s="54"/>
      <c r="R6" s="55"/>
      <c r="S6" s="55"/>
      <c r="T6" s="55"/>
      <c r="U6" s="55"/>
      <c r="V6" s="55"/>
      <c r="W6" s="56"/>
      <c r="X6" s="258" t="s">
        <v>3</v>
      </c>
      <c r="Y6" s="258"/>
      <c r="Z6" s="258"/>
      <c r="AA6" s="55"/>
      <c r="AB6" s="64" t="s">
        <v>4</v>
      </c>
      <c r="AC6" s="74"/>
      <c r="AD6" s="55"/>
      <c r="AE6" s="55"/>
    </row>
    <row r="7" spans="1:31" s="3" customFormat="1" ht="27.75" customHeight="1">
      <c r="A7" s="259" t="s">
        <v>5</v>
      </c>
      <c r="B7" s="5"/>
      <c r="C7" s="6"/>
      <c r="D7" s="7" t="s">
        <v>41</v>
      </c>
      <c r="E7" s="6"/>
      <c r="F7" s="6"/>
      <c r="G7" s="5"/>
      <c r="H7" s="5"/>
      <c r="I7" s="13"/>
      <c r="J7" s="13"/>
      <c r="K7" s="254" t="s">
        <v>6</v>
      </c>
      <c r="L7" s="8" t="s">
        <v>7</v>
      </c>
      <c r="M7" s="252" t="s">
        <v>8</v>
      </c>
      <c r="N7" s="260"/>
      <c r="O7" s="260"/>
      <c r="P7" s="260"/>
      <c r="Q7" s="253"/>
      <c r="R7" s="246" t="s">
        <v>9</v>
      </c>
      <c r="S7" s="247"/>
      <c r="T7" s="250" t="s">
        <v>10</v>
      </c>
      <c r="U7" s="251"/>
      <c r="V7" s="254" t="s">
        <v>11</v>
      </c>
      <c r="W7" s="14"/>
      <c r="X7" s="256" t="s">
        <v>12</v>
      </c>
      <c r="Y7" s="250" t="s">
        <v>13</v>
      </c>
      <c r="Z7" s="266"/>
      <c r="AA7" s="14"/>
      <c r="AB7" s="267" t="s">
        <v>4</v>
      </c>
      <c r="AC7" s="13"/>
      <c r="AD7" s="58"/>
      <c r="AE7" s="59"/>
    </row>
    <row r="8" spans="1:31" s="3" customFormat="1" ht="26.25" customHeight="1">
      <c r="A8" s="254"/>
      <c r="B8" s="13"/>
      <c r="C8" s="14"/>
      <c r="D8" s="10" t="s">
        <v>14</v>
      </c>
      <c r="E8" s="14"/>
      <c r="F8" s="14"/>
      <c r="G8" s="13"/>
      <c r="H8" s="12" t="s">
        <v>15</v>
      </c>
      <c r="I8" s="12" t="s">
        <v>16</v>
      </c>
      <c r="J8" s="12" t="s">
        <v>17</v>
      </c>
      <c r="K8" s="254"/>
      <c r="L8" s="15" t="s">
        <v>18</v>
      </c>
      <c r="M8" s="15" t="s">
        <v>19</v>
      </c>
      <c r="N8" s="269" t="s">
        <v>20</v>
      </c>
      <c r="O8" s="270"/>
      <c r="P8" s="269" t="s">
        <v>21</v>
      </c>
      <c r="Q8" s="270"/>
      <c r="R8" s="248"/>
      <c r="S8" s="249"/>
      <c r="T8" s="252"/>
      <c r="U8" s="253"/>
      <c r="V8" s="255"/>
      <c r="W8" s="14"/>
      <c r="X8" s="257"/>
      <c r="Y8" s="252"/>
      <c r="Z8" s="260"/>
      <c r="AA8" s="14"/>
      <c r="AB8" s="268"/>
      <c r="AC8" s="17"/>
      <c r="AD8" s="264" t="s">
        <v>109</v>
      </c>
      <c r="AE8" s="265"/>
    </row>
    <row r="9" spans="1:31" s="3" customFormat="1" ht="24.75" customHeight="1">
      <c r="A9" s="254"/>
      <c r="B9" s="13"/>
      <c r="C9" s="14"/>
      <c r="D9" s="10" t="s">
        <v>15</v>
      </c>
      <c r="E9" s="14"/>
      <c r="F9" s="14"/>
      <c r="G9" s="13"/>
      <c r="H9" s="12" t="s">
        <v>22</v>
      </c>
      <c r="I9" s="12" t="s">
        <v>23</v>
      </c>
      <c r="J9" s="12" t="s">
        <v>24</v>
      </c>
      <c r="K9" s="254"/>
      <c r="L9" s="9" t="s">
        <v>25</v>
      </c>
      <c r="M9" s="16" t="s">
        <v>25</v>
      </c>
      <c r="N9" s="16" t="s">
        <v>25</v>
      </c>
      <c r="O9" s="18" t="s">
        <v>26</v>
      </c>
      <c r="P9" s="16" t="s">
        <v>25</v>
      </c>
      <c r="Q9" s="18" t="s">
        <v>26</v>
      </c>
      <c r="R9" s="16" t="s">
        <v>25</v>
      </c>
      <c r="S9" s="18" t="s">
        <v>26</v>
      </c>
      <c r="T9" s="16" t="s">
        <v>25</v>
      </c>
      <c r="U9" s="18" t="s">
        <v>26</v>
      </c>
      <c r="V9" s="16" t="s">
        <v>25</v>
      </c>
      <c r="W9" s="14"/>
      <c r="X9" s="16" t="s">
        <v>25</v>
      </c>
      <c r="Y9" s="16" t="s">
        <v>25</v>
      </c>
      <c r="Z9" s="18" t="s">
        <v>26</v>
      </c>
      <c r="AA9" s="14"/>
      <c r="AB9" s="18" t="s">
        <v>27</v>
      </c>
      <c r="AC9" s="72" t="s">
        <v>46</v>
      </c>
      <c r="AD9" s="6"/>
      <c r="AE9" s="6"/>
    </row>
    <row r="10" spans="1:31" s="3" customFormat="1" ht="24">
      <c r="A10" s="255"/>
      <c r="B10" s="15" t="s">
        <v>28</v>
      </c>
      <c r="C10" s="18" t="s">
        <v>29</v>
      </c>
      <c r="D10" s="18" t="s">
        <v>30</v>
      </c>
      <c r="E10" s="19" t="s">
        <v>31</v>
      </c>
      <c r="F10" s="19" t="s">
        <v>32</v>
      </c>
      <c r="G10" s="15" t="s">
        <v>33</v>
      </c>
      <c r="H10" s="15" t="s">
        <v>34</v>
      </c>
      <c r="I10" s="15" t="s">
        <v>35</v>
      </c>
      <c r="J10" s="15" t="s">
        <v>36</v>
      </c>
      <c r="K10" s="11" t="s">
        <v>42</v>
      </c>
      <c r="L10" s="78">
        <v>0.0758875</v>
      </c>
      <c r="M10" s="66">
        <v>0.204</v>
      </c>
      <c r="N10" s="66">
        <v>0.011</v>
      </c>
      <c r="O10" s="66">
        <v>0.004</v>
      </c>
      <c r="P10" s="60">
        <v>0.007</v>
      </c>
      <c r="Q10" s="60">
        <v>0.0025</v>
      </c>
      <c r="R10" s="60">
        <v>0.0105</v>
      </c>
      <c r="S10" s="60">
        <v>0.00375</v>
      </c>
      <c r="T10" s="60">
        <v>0.0175</v>
      </c>
      <c r="U10" s="60">
        <v>0.00625</v>
      </c>
      <c r="V10" s="60">
        <v>0.01</v>
      </c>
      <c r="W10" s="71" t="s">
        <v>0</v>
      </c>
      <c r="X10" s="60">
        <v>0.02</v>
      </c>
      <c r="Y10" s="60">
        <v>0.0315</v>
      </c>
      <c r="Z10" s="60">
        <v>0.01125</v>
      </c>
      <c r="AA10" s="71" t="s">
        <v>37</v>
      </c>
      <c r="AB10" s="20">
        <v>0.05</v>
      </c>
      <c r="AC10" s="73" t="s">
        <v>47</v>
      </c>
      <c r="AD10" s="77" t="s">
        <v>27</v>
      </c>
      <c r="AE10" s="77" t="s">
        <v>15</v>
      </c>
    </row>
    <row r="11" spans="1:45" s="3" customFormat="1" ht="12">
      <c r="A11" s="23"/>
      <c r="B11" s="24"/>
      <c r="C11" s="25"/>
      <c r="D11" s="26"/>
      <c r="E11" s="26"/>
      <c r="F11" s="26"/>
      <c r="G11" s="27"/>
      <c r="H11" s="28"/>
      <c r="I11" s="29"/>
      <c r="J11" s="28"/>
      <c r="K11" s="30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2"/>
      <c r="X11" s="31"/>
      <c r="Y11" s="31"/>
      <c r="Z11" s="31"/>
      <c r="AA11" s="32"/>
      <c r="AB11" s="32"/>
      <c r="AC11" s="31"/>
      <c r="AD11" s="30"/>
      <c r="AE11" s="33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s="3" customFormat="1" ht="12">
      <c r="A12" s="23"/>
      <c r="B12" s="24"/>
      <c r="C12" s="104"/>
      <c r="D12" s="26"/>
      <c r="E12" s="29"/>
      <c r="F12" s="29"/>
      <c r="G12" s="27"/>
      <c r="H12" s="28"/>
      <c r="I12" s="29"/>
      <c r="J12" s="28"/>
      <c r="K12" s="35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6"/>
      <c r="X12" s="31"/>
      <c r="Y12" s="31"/>
      <c r="Z12" s="31"/>
      <c r="AA12" s="36"/>
      <c r="AB12" s="36"/>
      <c r="AC12" s="79"/>
      <c r="AD12" s="81"/>
      <c r="AE12" s="79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s="3" customFormat="1" ht="12">
      <c r="A13" s="23"/>
      <c r="B13" s="24"/>
      <c r="C13" s="34" t="s">
        <v>108</v>
      </c>
      <c r="D13" s="26" t="s">
        <v>38</v>
      </c>
      <c r="E13" s="26">
        <v>0</v>
      </c>
      <c r="F13" s="26">
        <v>0</v>
      </c>
      <c r="G13" s="61">
        <v>81.73</v>
      </c>
      <c r="H13" s="28"/>
      <c r="I13" s="67">
        <v>31</v>
      </c>
      <c r="J13" s="28"/>
      <c r="K13" s="31">
        <f>IF(G13&gt;$P$5,G13-$P$5,G13)</f>
        <v>81.73</v>
      </c>
      <c r="L13" s="31">
        <f>G13*I13*$L$10</f>
        <v>192.270846625</v>
      </c>
      <c r="M13" s="31">
        <f>I13*$L$5*$M$10</f>
        <v>409.54224</v>
      </c>
      <c r="N13" s="31">
        <f>IF(G13&gt;$P$5,(K13*I13*$N$10),0)</f>
        <v>0</v>
      </c>
      <c r="O13" s="31">
        <f>IF(G13&gt;$P$5,(I13*K13*$O$10),0)</f>
        <v>0</v>
      </c>
      <c r="P13" s="31">
        <f>+G13*I13*$P$10</f>
        <v>17.73541</v>
      </c>
      <c r="Q13" s="31">
        <f>+G13*I13*$Q$10</f>
        <v>6.334075</v>
      </c>
      <c r="R13" s="31">
        <f>+G13*I13*$R$10</f>
        <v>26.603115000000003</v>
      </c>
      <c r="S13" s="31">
        <f>+G13*I13*$S$10</f>
        <v>9.5011125</v>
      </c>
      <c r="T13" s="31">
        <f>+G13*I13*$T$10</f>
        <v>44.338525000000004</v>
      </c>
      <c r="U13" s="31">
        <f>+G13*I13*$U$10</f>
        <v>15.835187500000002</v>
      </c>
      <c r="V13" s="31">
        <f>+G13*I13*$V$10</f>
        <v>25.3363</v>
      </c>
      <c r="W13" s="36">
        <f>SUM(L13:V13)</f>
        <v>747.496811625</v>
      </c>
      <c r="X13" s="31">
        <f>+G13*I13*$X$10</f>
        <v>50.6726</v>
      </c>
      <c r="Y13" s="31">
        <f>+G13*I13*$Y$10</f>
        <v>79.80934500000001</v>
      </c>
      <c r="Z13" s="31">
        <f>+G13*I13*$Z$10</f>
        <v>28.5033375</v>
      </c>
      <c r="AA13" s="36">
        <f>SUM(X13:Z13)</f>
        <v>158.98528249999998</v>
      </c>
      <c r="AB13" s="36">
        <f>+G13*I13*$AB$10</f>
        <v>126.68150000000001</v>
      </c>
      <c r="AC13" s="75">
        <f>+W13+AA13+AB13</f>
        <v>1033.163594125</v>
      </c>
      <c r="AD13" s="76">
        <f>IF(H13="x",AC13,(L13+M13+N13+P13+R13+T13+V13+X13+Y13+AB13))</f>
        <v>972.9898816250001</v>
      </c>
      <c r="AE13" s="75">
        <f>IF(H13="X",0,(O13+Q13+S13+U13+Z13))</f>
        <v>60.1737125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s="3" customFormat="1" ht="12">
      <c r="A14" s="23"/>
      <c r="B14" s="24"/>
      <c r="C14" s="34" t="s">
        <v>139</v>
      </c>
      <c r="D14" s="26" t="s">
        <v>38</v>
      </c>
      <c r="E14" s="26">
        <v>0</v>
      </c>
      <c r="F14" s="26">
        <v>0</v>
      </c>
      <c r="G14" s="61">
        <v>123.54</v>
      </c>
      <c r="H14" s="28"/>
      <c r="I14" s="67">
        <v>31</v>
      </c>
      <c r="J14" s="28"/>
      <c r="K14" s="31">
        <f>IF(G14&gt;$P$5,G14-$P$5,G14)</f>
        <v>123.54</v>
      </c>
      <c r="L14" s="31">
        <f>G14*I14*$L$10</f>
        <v>290.62939425</v>
      </c>
      <c r="M14" s="31">
        <f>I14*$L$5*$M$10</f>
        <v>409.54224</v>
      </c>
      <c r="N14" s="31">
        <f>IF(G14&gt;$P$5,(K14*I14*$N$10),0)</f>
        <v>0</v>
      </c>
      <c r="O14" s="31">
        <f>IF(G14&gt;$P$5,(I14*K14*$O$10),0)</f>
        <v>0</v>
      </c>
      <c r="P14" s="31">
        <f>+G14*I14*$P$10</f>
        <v>26.808180000000004</v>
      </c>
      <c r="Q14" s="31">
        <f>+G14*I14*$Q$10</f>
        <v>9.57435</v>
      </c>
      <c r="R14" s="31">
        <f>+G14*I14*$R$10</f>
        <v>40.212270000000004</v>
      </c>
      <c r="S14" s="31">
        <f>+G14*I14*$S$10</f>
        <v>14.361525</v>
      </c>
      <c r="T14" s="31">
        <f>+G14*I14*$T$10</f>
        <v>67.02045000000001</v>
      </c>
      <c r="U14" s="31">
        <f>+G14*I14*$U$10</f>
        <v>23.935875000000003</v>
      </c>
      <c r="V14" s="31">
        <f>+G14*I14*$V$10</f>
        <v>38.2974</v>
      </c>
      <c r="W14" s="36">
        <f>SUM(L14:V14)</f>
        <v>920.38168425</v>
      </c>
      <c r="X14" s="31">
        <f>+G14*I14*$X$10</f>
        <v>76.5948</v>
      </c>
      <c r="Y14" s="31">
        <f>+G14*I14*$Y$10</f>
        <v>120.63681000000001</v>
      </c>
      <c r="Z14" s="31">
        <f>+G14*I14*$Z$10</f>
        <v>43.084575</v>
      </c>
      <c r="AA14" s="36">
        <f>SUM(X14:Z14)</f>
        <v>240.31618500000002</v>
      </c>
      <c r="AB14" s="36">
        <f>+G14*I14*$AB$10</f>
        <v>191.48700000000002</v>
      </c>
      <c r="AC14" s="75">
        <f>+W14+AA14+AB14</f>
        <v>1352.1848692500002</v>
      </c>
      <c r="AD14" s="76">
        <f>IF(H14="x",AC14,(L14+M14+N14+P14+R14+T14+V14+X14+Y14+AB14))</f>
        <v>1261.2285442500001</v>
      </c>
      <c r="AE14" s="75">
        <f>IF(H14="X",0,(O14+Q14+S14+U14+Z14))</f>
        <v>90.956325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s="3" customFormat="1" ht="12">
      <c r="A15" s="23"/>
      <c r="B15" s="24"/>
      <c r="C15" s="34"/>
      <c r="D15" s="26"/>
      <c r="E15" s="29"/>
      <c r="F15" s="29"/>
      <c r="G15" s="27"/>
      <c r="H15" s="28"/>
      <c r="I15" s="29"/>
      <c r="J15" s="28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6"/>
      <c r="X15" s="31"/>
      <c r="Y15" s="31"/>
      <c r="Z15" s="31"/>
      <c r="AA15" s="36"/>
      <c r="AB15" s="36"/>
      <c r="AC15" s="31"/>
      <c r="AD15" s="35"/>
      <c r="AE15" s="31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s="3" customFormat="1" ht="12">
      <c r="A16" s="23"/>
      <c r="B16" s="24"/>
      <c r="C16" s="34" t="s">
        <v>139</v>
      </c>
      <c r="D16" s="26" t="s">
        <v>38</v>
      </c>
      <c r="E16" s="26">
        <v>0</v>
      </c>
      <c r="F16" s="26">
        <v>0</v>
      </c>
      <c r="G16" s="61">
        <f>80*1.0452</f>
        <v>83.61599999999999</v>
      </c>
      <c r="H16" s="28"/>
      <c r="I16" s="67">
        <v>31</v>
      </c>
      <c r="J16" s="28"/>
      <c r="K16" s="31">
        <f>IF(G16&gt;$P$5,G16-$P$5,G16)</f>
        <v>83.61599999999999</v>
      </c>
      <c r="L16" s="31">
        <f>G16*I16*$L$10</f>
        <v>196.70768519999996</v>
      </c>
      <c r="M16" s="31">
        <f>I16*$L$5*$M$10</f>
        <v>409.54224</v>
      </c>
      <c r="N16" s="31">
        <f>IF(G16&gt;$P$5,(K16*I16*$N$10),0)</f>
        <v>0</v>
      </c>
      <c r="O16" s="31">
        <f>IF(G16&gt;$P$5,(I16*K16*$O$10),0)</f>
        <v>0</v>
      </c>
      <c r="P16" s="31">
        <f>+G16*I16*$P$10</f>
        <v>18.144671999999996</v>
      </c>
      <c r="Q16" s="31">
        <f>+G16*I16*$Q$10</f>
        <v>6.480239999999999</v>
      </c>
      <c r="R16" s="31">
        <f>+G16*I16*$R$10</f>
        <v>27.217007999999996</v>
      </c>
      <c r="S16" s="31">
        <f>+G16*I16*$S$10</f>
        <v>9.720359999999998</v>
      </c>
      <c r="T16" s="31">
        <f>+G16*I16*$T$10</f>
        <v>45.36168</v>
      </c>
      <c r="U16" s="31">
        <f>+G16*I16*$U$10</f>
        <v>16.200599999999998</v>
      </c>
      <c r="V16" s="31">
        <f>+G16*I16*$V$10</f>
        <v>25.920959999999997</v>
      </c>
      <c r="W16" s="36">
        <f>SUM(L16:V16)</f>
        <v>755.2954452</v>
      </c>
      <c r="X16" s="31">
        <f>+G16*I16*$X$10</f>
        <v>51.841919999999995</v>
      </c>
      <c r="Y16" s="31">
        <f>+G16*I16*$Y$10</f>
        <v>81.65102399999999</v>
      </c>
      <c r="Z16" s="31">
        <f>+G16*I16*$Z$10</f>
        <v>29.161079999999995</v>
      </c>
      <c r="AA16" s="36">
        <f>SUM(X16:Z16)</f>
        <v>162.654024</v>
      </c>
      <c r="AB16" s="36">
        <f>+G16*I16*$AB$10</f>
        <v>129.60479999999998</v>
      </c>
      <c r="AC16" s="75">
        <f>+W16+AA16+AB16</f>
        <v>1047.5542692000001</v>
      </c>
      <c r="AD16" s="76">
        <f>IF(H16="x",AC16,(L16+M16+N16+P16+R16+T16+V16+X16+Y16+AB16))</f>
        <v>985.9919891999999</v>
      </c>
      <c r="AE16" s="75">
        <f>IF(H16="X",0,(O16+Q16+S16+U16+Z16))</f>
        <v>61.56227999999999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s="3" customFormat="1" ht="12">
      <c r="A17" s="23"/>
      <c r="B17" s="24"/>
      <c r="C17" s="34" t="s">
        <v>139</v>
      </c>
      <c r="D17" s="26" t="s">
        <v>38</v>
      </c>
      <c r="E17" s="26">
        <v>0</v>
      </c>
      <c r="F17" s="26">
        <v>0</v>
      </c>
      <c r="G17" s="61">
        <f>+G16</f>
        <v>83.61599999999999</v>
      </c>
      <c r="H17" s="28"/>
      <c r="I17" s="67">
        <v>62</v>
      </c>
      <c r="J17" s="28"/>
      <c r="K17" s="31">
        <f>IF(G17&gt;$P$5,G17-$P$5,G17)</f>
        <v>83.61599999999999</v>
      </c>
      <c r="L17" s="31">
        <f>G17*I17*$L$10</f>
        <v>393.4153703999999</v>
      </c>
      <c r="M17" s="31">
        <f>I17*$L$5*$M$10</f>
        <v>819.08448</v>
      </c>
      <c r="N17" s="31">
        <f>IF(G17&gt;$P$5,(K17*I17*$N$10),0)</f>
        <v>0</v>
      </c>
      <c r="O17" s="31">
        <f>IF(G17&gt;$P$5,(I17*K17*$O$10),0)</f>
        <v>0</v>
      </c>
      <c r="P17" s="31">
        <f>+G17*I17*$P$10</f>
        <v>36.28934399999999</v>
      </c>
      <c r="Q17" s="31">
        <f>+G17*I17*$Q$10</f>
        <v>12.960479999999999</v>
      </c>
      <c r="R17" s="31">
        <f>+G17*I17*$R$10</f>
        <v>54.43401599999999</v>
      </c>
      <c r="S17" s="31">
        <f>+G17*I17*$S$10</f>
        <v>19.440719999999995</v>
      </c>
      <c r="T17" s="31">
        <f>+G17*I17*$T$10</f>
        <v>90.72336</v>
      </c>
      <c r="U17" s="31">
        <f>+G17*I17*$U$10</f>
        <v>32.401199999999996</v>
      </c>
      <c r="V17" s="31">
        <f>+G17*I17*$V$10</f>
        <v>51.841919999999995</v>
      </c>
      <c r="W17" s="36">
        <f>SUM(L17:V17)</f>
        <v>1510.5908904</v>
      </c>
      <c r="X17" s="31">
        <f>+G17*I17*$X$10</f>
        <v>103.68383999999999</v>
      </c>
      <c r="Y17" s="31">
        <f>+G17*I17*$Y$10</f>
        <v>163.30204799999998</v>
      </c>
      <c r="Z17" s="31">
        <f>+G17*I17*$Z$10</f>
        <v>58.32215999999999</v>
      </c>
      <c r="AA17" s="36">
        <f>SUM(X17:Z17)</f>
        <v>325.308048</v>
      </c>
      <c r="AB17" s="36">
        <f>+G17*I17*$AB$10</f>
        <v>259.20959999999997</v>
      </c>
      <c r="AC17" s="75">
        <f>+W17+AA17+AB17</f>
        <v>2095.1085384000003</v>
      </c>
      <c r="AD17" s="76">
        <f>IF(H17="x",AC17,(L17+M17+N17+P17+R17+T17+V17+X17+Y17+AB17))</f>
        <v>1971.9839783999998</v>
      </c>
      <c r="AE17" s="75">
        <f>IF(H17="X",0,(O17+Q17+S17+U17+Z17))</f>
        <v>123.12455999999997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9" spans="3:31" ht="12">
      <c r="C19" s="34" t="s">
        <v>140</v>
      </c>
      <c r="D19" s="26" t="s">
        <v>38</v>
      </c>
      <c r="E19" s="26">
        <v>0</v>
      </c>
      <c r="F19" s="26">
        <v>0</v>
      </c>
      <c r="G19" s="61">
        <f>90*1.0452</f>
        <v>94.068</v>
      </c>
      <c r="H19" s="28"/>
      <c r="I19" s="67">
        <v>31</v>
      </c>
      <c r="J19" s="28"/>
      <c r="K19" s="31">
        <f>IF(G19&gt;$P$5,G19-$P$5,G19)</f>
        <v>94.068</v>
      </c>
      <c r="L19" s="31">
        <f>G19*I19*$L$10</f>
        <v>221.29614584999996</v>
      </c>
      <c r="M19" s="31">
        <f>I19*$L$5*$M$10</f>
        <v>409.54224</v>
      </c>
      <c r="N19" s="31">
        <f>IF(G19&gt;$P$5,(K19*I19*$N$10),0)</f>
        <v>0</v>
      </c>
      <c r="O19" s="31">
        <f>IF(G19&gt;$P$5,(I19*K19*$O$10),0)</f>
        <v>0</v>
      </c>
      <c r="P19" s="31">
        <f>+G19*I19*$P$10</f>
        <v>20.412755999999998</v>
      </c>
      <c r="Q19" s="31">
        <f>+G19*I19*$Q$10</f>
        <v>7.29027</v>
      </c>
      <c r="R19" s="31">
        <f>+G19*I19*$R$10</f>
        <v>30.619134</v>
      </c>
      <c r="S19" s="31">
        <f>+G19*I19*$S$10</f>
        <v>10.935405</v>
      </c>
      <c r="T19" s="31">
        <f>+G19*I19*$T$10</f>
        <v>51.03189</v>
      </c>
      <c r="U19" s="31">
        <f>+G19*I19*$U$10</f>
        <v>18.225675</v>
      </c>
      <c r="V19" s="31">
        <f>+G19*I19*$V$10</f>
        <v>29.16108</v>
      </c>
      <c r="W19" s="36">
        <f>SUM(L19:V19)</f>
        <v>798.5145958499998</v>
      </c>
      <c r="X19" s="31">
        <f>+G19*I19*$X$10</f>
        <v>58.32216</v>
      </c>
      <c r="Y19" s="31">
        <f>+G19*I19*$Y$10</f>
        <v>91.857402</v>
      </c>
      <c r="Z19" s="31">
        <f>+G19*I19*$Z$10</f>
        <v>32.806214999999995</v>
      </c>
      <c r="AA19" s="36">
        <f>SUM(X19:Z19)</f>
        <v>182.98577699999998</v>
      </c>
      <c r="AB19" s="36">
        <f>+G19*I19*$AB$10</f>
        <v>145.8054</v>
      </c>
      <c r="AC19" s="75">
        <f>+W19+AA19+AB19</f>
        <v>1127.3057728499998</v>
      </c>
      <c r="AD19" s="76">
        <f>IF(H19="x",AC19,(L19+M19+N19+P19+R19+T19+V19+X19+Y19+AB19))</f>
        <v>1058.04820785</v>
      </c>
      <c r="AE19" s="75">
        <f>IF(H19="X",0,(O19+Q19+S19+U19+Z19))</f>
        <v>69.257565</v>
      </c>
    </row>
    <row r="20" spans="3:31" ht="12">
      <c r="C20" s="34" t="s">
        <v>140</v>
      </c>
      <c r="D20" s="26" t="s">
        <v>38</v>
      </c>
      <c r="E20" s="26">
        <v>0</v>
      </c>
      <c r="F20" s="26">
        <v>0</v>
      </c>
      <c r="G20" s="61">
        <f>+G19</f>
        <v>94.068</v>
      </c>
      <c r="H20" s="28"/>
      <c r="I20" s="67">
        <v>62</v>
      </c>
      <c r="J20" s="28"/>
      <c r="K20" s="31">
        <f>IF(G20&gt;$P$5,G20-$P$5,G20)</f>
        <v>94.068</v>
      </c>
      <c r="L20" s="31">
        <f>G20*I20*$L$10</f>
        <v>442.5922916999999</v>
      </c>
      <c r="M20" s="31">
        <f>I20*$L$5*$M$10</f>
        <v>819.08448</v>
      </c>
      <c r="N20" s="31">
        <f>IF(G20&gt;$P$5,(K20*I20*$N$10),0)</f>
        <v>0</v>
      </c>
      <c r="O20" s="31">
        <f>IF(G20&gt;$P$5,(I20*K20*$O$10),0)</f>
        <v>0</v>
      </c>
      <c r="P20" s="31">
        <f>+G20*I20*$P$10</f>
        <v>40.825511999999996</v>
      </c>
      <c r="Q20" s="31">
        <f>+G20*I20*$Q$10</f>
        <v>14.58054</v>
      </c>
      <c r="R20" s="31">
        <f>+G20*I20*$R$10</f>
        <v>61.238268</v>
      </c>
      <c r="S20" s="31">
        <f>+G20*I20*$S$10</f>
        <v>21.87081</v>
      </c>
      <c r="T20" s="31">
        <f>+G20*I20*$T$10</f>
        <v>102.06378</v>
      </c>
      <c r="U20" s="31">
        <f>+G20*I20*$U$10</f>
        <v>36.45135</v>
      </c>
      <c r="V20" s="31">
        <f>+G20*I20*$V$10</f>
        <v>58.32216</v>
      </c>
      <c r="W20" s="36">
        <f>SUM(L20:V20)</f>
        <v>1597.0291916999995</v>
      </c>
      <c r="X20" s="31">
        <f>+G20*I20*$X$10</f>
        <v>116.64432</v>
      </c>
      <c r="Y20" s="31">
        <f>+G20*I20*$Y$10</f>
        <v>183.714804</v>
      </c>
      <c r="Z20" s="31">
        <f>+G20*I20*$Z$10</f>
        <v>65.61242999999999</v>
      </c>
      <c r="AA20" s="36">
        <f>SUM(X20:Z20)</f>
        <v>365.97155399999997</v>
      </c>
      <c r="AB20" s="36">
        <f>+G20*I20*$AB$10</f>
        <v>291.6108</v>
      </c>
      <c r="AC20" s="75">
        <f>+W20+AA20+AB20</f>
        <v>2254.6115456999996</v>
      </c>
      <c r="AD20" s="76">
        <f>IF(H20="x",AC20,(L20+M20+N20+P20+R20+T20+V20+X20+Y20+AB20))</f>
        <v>2116.0964157</v>
      </c>
      <c r="AE20" s="75">
        <f>IF(H20="X",0,(O20+Q20+S20+U20+Z20))</f>
        <v>138.51513</v>
      </c>
    </row>
    <row r="22" spans="3:31" ht="12">
      <c r="C22" s="34" t="s">
        <v>143</v>
      </c>
      <c r="D22" s="26" t="s">
        <v>38</v>
      </c>
      <c r="E22" s="26">
        <v>0</v>
      </c>
      <c r="F22" s="26">
        <v>0</v>
      </c>
      <c r="G22" s="61">
        <f>100*1.0452</f>
        <v>104.52</v>
      </c>
      <c r="H22" s="28"/>
      <c r="I22" s="67">
        <v>31</v>
      </c>
      <c r="J22" s="28"/>
      <c r="K22" s="31">
        <f>IF(G22&gt;$P$5,G22-$P$5,G22)</f>
        <v>104.52</v>
      </c>
      <c r="L22" s="31">
        <f>G22*I22*$L$10</f>
        <v>245.8846065</v>
      </c>
      <c r="M22" s="31">
        <f>I22*$L$5*$M$10</f>
        <v>409.54224</v>
      </c>
      <c r="N22" s="31">
        <f>IF(G22&gt;$P$5,(K22*I22*$N$10),0)</f>
        <v>0</v>
      </c>
      <c r="O22" s="31">
        <f>IF(G22&gt;$P$5,(I22*K22*$O$10),0)</f>
        <v>0</v>
      </c>
      <c r="P22" s="31">
        <f>+G22*I22*$P$10</f>
        <v>22.68084</v>
      </c>
      <c r="Q22" s="31">
        <f>+G22*I22*$Q$10</f>
        <v>8.1003</v>
      </c>
      <c r="R22" s="31">
        <f>+G22*I22*$R$10</f>
        <v>34.02126</v>
      </c>
      <c r="S22" s="31">
        <f>+G22*I22*$S$10</f>
        <v>12.15045</v>
      </c>
      <c r="T22" s="31">
        <f>+G22*I22*$T$10</f>
        <v>56.7021</v>
      </c>
      <c r="U22" s="31">
        <f>+G22*I22*$U$10</f>
        <v>20.25075</v>
      </c>
      <c r="V22" s="31">
        <f>+G22*I22*$V$10</f>
        <v>32.4012</v>
      </c>
      <c r="W22" s="36">
        <f>SUM(L22:V22)</f>
        <v>841.7337464999999</v>
      </c>
      <c r="X22" s="31">
        <f>+G22*I22*$X$10</f>
        <v>64.8024</v>
      </c>
      <c r="Y22" s="31">
        <f>+G22*I22*$Y$10</f>
        <v>102.06378</v>
      </c>
      <c r="Z22" s="31">
        <f>+G22*I22*$Z$10</f>
        <v>36.45135</v>
      </c>
      <c r="AA22" s="36">
        <f>SUM(X22:Z22)</f>
        <v>203.31752999999998</v>
      </c>
      <c r="AB22" s="36">
        <f>+G22*I22*$AB$10</f>
        <v>162.006</v>
      </c>
      <c r="AC22" s="75">
        <f>+W22+AA22+AB22</f>
        <v>1207.0572765</v>
      </c>
      <c r="AD22" s="76">
        <f>IF(H22="x",AC22,(L22+M22+N22+P22+R22+T22+V22+X22+Y22+AB22))</f>
        <v>1130.1044265</v>
      </c>
      <c r="AE22" s="75">
        <f>IF(H22="X",0,(O22+Q22+S22+U22+Z22))</f>
        <v>76.95285</v>
      </c>
    </row>
    <row r="23" spans="3:31" ht="12">
      <c r="C23" s="34" t="s">
        <v>143</v>
      </c>
      <c r="D23" s="26" t="s">
        <v>38</v>
      </c>
      <c r="E23" s="26">
        <v>0</v>
      </c>
      <c r="F23" s="26">
        <v>0</v>
      </c>
      <c r="G23" s="61">
        <f>+G22</f>
        <v>104.52</v>
      </c>
      <c r="H23" s="28"/>
      <c r="I23" s="67">
        <v>62</v>
      </c>
      <c r="J23" s="28"/>
      <c r="K23" s="31">
        <f>IF(G23&gt;$P$5,G23-$P$5,G23)</f>
        <v>104.52</v>
      </c>
      <c r="L23" s="31">
        <f>G23*I23*$L$10</f>
        <v>491.769213</v>
      </c>
      <c r="M23" s="31">
        <f>I23*$L$5*$M$10</f>
        <v>819.08448</v>
      </c>
      <c r="N23" s="31">
        <f>IF(G23&gt;$P$5,(K23*I23*$N$10),0)</f>
        <v>0</v>
      </c>
      <c r="O23" s="31">
        <f>IF(G23&gt;$P$5,(I23*K23*$O$10),0)</f>
        <v>0</v>
      </c>
      <c r="P23" s="31">
        <f>+G23*I23*$P$10</f>
        <v>45.36168</v>
      </c>
      <c r="Q23" s="31">
        <f>+G23*I23*$Q$10</f>
        <v>16.2006</v>
      </c>
      <c r="R23" s="31">
        <f>+G23*I23*$R$10</f>
        <v>68.04252</v>
      </c>
      <c r="S23" s="31">
        <f>+G23*I23*$S$10</f>
        <v>24.3009</v>
      </c>
      <c r="T23" s="31">
        <f>+G23*I23*$T$10</f>
        <v>113.4042</v>
      </c>
      <c r="U23" s="31">
        <f>+G23*I23*$U$10</f>
        <v>40.5015</v>
      </c>
      <c r="V23" s="31">
        <f>+G23*I23*$V$10</f>
        <v>64.8024</v>
      </c>
      <c r="W23" s="36">
        <f>SUM(L23:V23)</f>
        <v>1683.4674929999999</v>
      </c>
      <c r="X23" s="31">
        <f>+G23*I23*$X$10</f>
        <v>129.6048</v>
      </c>
      <c r="Y23" s="31">
        <f>+G23*I23*$Y$10</f>
        <v>204.12756</v>
      </c>
      <c r="Z23" s="31">
        <f>+G23*I23*$Z$10</f>
        <v>72.9027</v>
      </c>
      <c r="AA23" s="36">
        <f>SUM(X23:Z23)</f>
        <v>406.63505999999995</v>
      </c>
      <c r="AB23" s="36">
        <f>+G23*I23*$AB$10</f>
        <v>324.012</v>
      </c>
      <c r="AC23" s="75">
        <f>+W23+AA23+AB23</f>
        <v>2414.114553</v>
      </c>
      <c r="AD23" s="76">
        <f>IF(H23="x",AC23,(L23+M23+N23+P23+R23+T23+V23+X23+Y23+AB23))</f>
        <v>2260.208853</v>
      </c>
      <c r="AE23" s="75">
        <f>IF(H23="X",0,(O23+Q23+S23+U23+Z23))</f>
        <v>153.9057</v>
      </c>
    </row>
    <row r="27" ht="12">
      <c r="C27" s="1" t="s">
        <v>144</v>
      </c>
    </row>
    <row r="28" spans="3:4" ht="12">
      <c r="C28" s="1" t="s">
        <v>147</v>
      </c>
      <c r="D28" s="243">
        <f>+W13</f>
        <v>747.496811625</v>
      </c>
    </row>
    <row r="29" spans="3:4" ht="12">
      <c r="C29" s="1" t="s">
        <v>148</v>
      </c>
      <c r="D29" s="244">
        <f>+W13+AA14+AB14</f>
        <v>1179.299996625</v>
      </c>
    </row>
    <row r="30" spans="3:4" ht="12">
      <c r="C30" s="245" t="s">
        <v>145</v>
      </c>
      <c r="D30" s="243">
        <f>SUM(D28:D29)</f>
        <v>1926.79680825</v>
      </c>
    </row>
    <row r="31" ht="12">
      <c r="D31" s="2"/>
    </row>
    <row r="32" ht="12">
      <c r="D32" s="2"/>
    </row>
    <row r="33" spans="3:4" ht="12">
      <c r="C33" s="1" t="s">
        <v>146</v>
      </c>
      <c r="D33" s="2"/>
    </row>
    <row r="34" spans="3:4" ht="12">
      <c r="C34" s="1" t="s">
        <v>147</v>
      </c>
      <c r="D34" s="243">
        <f>+W16</f>
        <v>755.2954452</v>
      </c>
    </row>
    <row r="35" spans="3:4" ht="12">
      <c r="C35" s="1" t="s">
        <v>148</v>
      </c>
      <c r="D35" s="244">
        <f>+W16+AA17+AB17</f>
        <v>1339.8130932</v>
      </c>
    </row>
    <row r="36" spans="3:4" ht="12">
      <c r="C36" s="245" t="s">
        <v>145</v>
      </c>
      <c r="D36" s="243">
        <f>SUM(D34:D35)</f>
        <v>2095.1085384</v>
      </c>
    </row>
    <row r="37" ht="12">
      <c r="D37" s="2"/>
    </row>
    <row r="38" ht="12">
      <c r="D38" s="2"/>
    </row>
    <row r="39" spans="3:4" ht="12">
      <c r="C39" s="1" t="s">
        <v>149</v>
      </c>
      <c r="D39" s="2"/>
    </row>
    <row r="40" spans="3:4" ht="12">
      <c r="C40" s="1" t="s">
        <v>147</v>
      </c>
      <c r="D40" s="243">
        <f>+W19</f>
        <v>798.5145958499998</v>
      </c>
    </row>
    <row r="41" spans="3:4" ht="12">
      <c r="C41" s="1" t="s">
        <v>148</v>
      </c>
      <c r="D41" s="244">
        <f>+W19+AA20+AB20</f>
        <v>1456.0969498499996</v>
      </c>
    </row>
    <row r="42" spans="3:4" ht="12">
      <c r="C42" s="245" t="s">
        <v>145</v>
      </c>
      <c r="D42" s="243">
        <f>SUM(D40:D41)</f>
        <v>2254.6115456999996</v>
      </c>
    </row>
    <row r="43" ht="12">
      <c r="D43" s="2"/>
    </row>
    <row r="44" ht="12">
      <c r="D44" s="2"/>
    </row>
    <row r="45" spans="3:4" ht="12">
      <c r="C45" s="1" t="s">
        <v>150</v>
      </c>
      <c r="D45" s="2"/>
    </row>
    <row r="46" spans="3:4" ht="12">
      <c r="C46" s="1" t="s">
        <v>147</v>
      </c>
      <c r="D46" s="243">
        <f>+W22</f>
        <v>841.7337464999999</v>
      </c>
    </row>
    <row r="47" spans="3:4" ht="12">
      <c r="C47" s="1" t="s">
        <v>148</v>
      </c>
      <c r="D47" s="244">
        <f>+W22+AA23+AB23</f>
        <v>1572.3808064999998</v>
      </c>
    </row>
    <row r="48" spans="3:4" ht="12">
      <c r="C48" s="245" t="s">
        <v>145</v>
      </c>
      <c r="D48" s="243">
        <f>SUM(D46:D47)</f>
        <v>2414.114553</v>
      </c>
    </row>
    <row r="49" ht="12">
      <c r="D49" s="2"/>
    </row>
  </sheetData>
  <sheetProtection/>
  <mergeCells count="14">
    <mergeCell ref="E5:G5"/>
    <mergeCell ref="AD8:AE8"/>
    <mergeCell ref="Y7:Z8"/>
    <mergeCell ref="AB7:AB8"/>
    <mergeCell ref="N8:O8"/>
    <mergeCell ref="P8:Q8"/>
    <mergeCell ref="R7:S8"/>
    <mergeCell ref="T7:U8"/>
    <mergeCell ref="V7:V8"/>
    <mergeCell ref="X7:X8"/>
    <mergeCell ref="X6:Z6"/>
    <mergeCell ref="A7:A10"/>
    <mergeCell ref="K7:K9"/>
    <mergeCell ref="M7:Q7"/>
  </mergeCells>
  <dataValidations count="14">
    <dataValidation type="decimal" operator="lessThanOrEqual" allowBlank="1" showInputMessage="1" showErrorMessage="1" errorTitle="! A D V E R T E N C I A ¡" error="SOLO SE PUEDE INTRODUCIR UN SALARIO DE COTIZACION IGUAL O MENOR A CELDA H3.&#10;A.S.M.&#10;&#10;" sqref="G15 G12">
      <formula1>$I$6</formula1>
    </dataValidation>
    <dataValidation type="textLength" operator="equal" allowBlank="1" showInputMessage="1" showErrorMessage="1" errorTitle="INSTRUCCIÓN!!!!" error="SOLO INTRODUCIR A, B , C.&#10;ALEXSAM 2005.&#10;" sqref="D15 D12">
      <formula1>1</formula1>
    </dataValidation>
    <dataValidation type="textLength" operator="equal" allowBlank="1" showInputMessage="1" showErrorMessage="1" errorTitle="INSTRUCCIÓN!!!" error="SOLO MARQUE UNA &quot;X&quot;, SI EL TRABAJADOR GANA EL SALARIO MINIMO DE SU ZONA GEOGRAFICA.&#10;A.S.M." sqref="H15 H12">
      <formula1>1</formula1>
    </dataValidation>
    <dataValidation type="textLength" operator="equal" allowBlank="1" showInputMessage="1" showErrorMessage="1" errorTitle="INSTRUCCIÓN!!!!" error="SOLO INDIQUE SI LA PENSIÓN ES EN CESANTIA Y VEJEZ &quot; CV &quot;, O INVALIDEZ Y VIDA &quot; IV &quot;.&#10;A.S.M." sqref="J15 J12">
      <formula1>2</formula1>
    </dataValidation>
    <dataValidation type="decimal" operator="lessThanOrEqual" allowBlank="1" showInputMessage="1" showErrorMessage="1" promptTitle="INSTRUCCIÓN!!!" prompt="AQUI DEBERA INGRESAR EL SALARIO INTEGRADO DEL EMPLEADO, CON EL QUE ESTA INSCRITO EN EL IMSS O CON EL QUE SE PRETENDE.&#10;A.S.M." errorTitle="! A D V E R T E N C I A ¡" error="SOLO SE PUEDE INTRODUCIR UN SALARIO DE COTIZACION IGUAL O MENOR A CELDA H3.&#10;A.S.M.&#10;&#10;" sqref="G11 G22:G23 G16:G17 G19:G20 G13:G14">
      <formula1>$I$6</formula1>
    </dataValidation>
    <dataValidation allowBlank="1" showInputMessage="1" showErrorMessage="1" promptTitle="INSTRUCCIÓN!!!!" prompt="AQUI DEBERA INGRESAR LOS DIAS EFECTIVAMENTE LABORADOS, INCLUYENDO DIAS DE DESCANSO OBLIGATORIOS, PERO SIN CONSIDERAR INCAP. Y FALTAS, YA QUE ESTAS VAN EN OTRO RENGLON.&#10;A.S.M." sqref="I11 I22:I23 I19:I20 I16:I17 I13:I14"/>
    <dataValidation type="textLength" operator="equal" allowBlank="1" showInputMessage="1" showErrorMessage="1" promptTitle="INSTRUCCIÓN!!!!" prompt="AQUI SOLO INGRESE DOS LETRAS.&#10;PENSIÓN POR INVALIDEZ: IV&#10;PENSIÓN POR CESANTIA O VEJEZ: CV&#10;A.S.M." errorTitle="INSTRUCCIÓN!!!!" error="SOLO INDIQUE SI LA PENSIÓN ES EN CESANTIA Y VEJEZ &quot; CV &quot;, O INVALIDEZ Y VIDA &quot; IV &quot;.&#10;A.S.M." sqref="J11 J22:J23 J19:J20 J16:J17 J13:J14">
      <formula1>2</formula1>
    </dataValidation>
    <dataValidation type="textLength" operator="equal" allowBlank="1" showInputMessage="1" showErrorMessage="1" promptTitle="INSTRUCCIÓN!!!!!!" prompt="EN ESTA CELDA SOLO INGRESE UNA &quot;X&quot;, EN CASO DE QUE AL TRABAJADOR SU SALARIO DIARIO CORRESPONDA A EL MINIMO DE LA ZONA, YA QUE EN ESTE CASO LAS CUOTAS CORRESPONDERAN AL PATRON EL PAGO.&#10;A.S.M." errorTitle="INSTRUCCIÓN!!!" error="SOLO MARQUE UNA &quot;X&quot;, SI EL TRABAJADOR GANA EL SALARIO MINIMO DE SU ZONA GEOGRAFICA.&#10;A.S.M." sqref="H11 H22:H23 H19:H20 H16:H17 H13:H14">
      <formula1>1</formula1>
    </dataValidation>
    <dataValidation type="textLength" operator="equal" allowBlank="1" showInputMessage="1" showErrorMessage="1" promptTitle="INSTRUCCIÓN!!!!!" prompt="EN ESTA CELDA COMO DATO ESTADISTICO, INDIQUE SI ES ZONA &#10;A, B O C, DEL TRABAJADOR.&#10;A.S.M." errorTitle="INSTRUCCIÓN!!!!" error="SOLO INTRODUCIR A, B , C.&#10;ALEXSAM 2005.&#10;" sqref="D11 D22:D23 D19:D20 D16:D17 D13:D14">
      <formula1>1</formula1>
    </dataValidation>
    <dataValidation type="textLength" operator="equal" allowBlank="1" showInputMessage="1" showErrorMessage="1" promptTitle="INSTRUCCIÓN!!!!!" prompt="EN ESTA CELDA INDIQUE LOS DIAS QUE NO LABORO EL TRABAJADOR, YA QUE TIENE UN CALCULO ESPECIAL ESTA INCIDENCIA.&#10;A.S.M." errorTitle="INSTRUCCIÓN!!!!" error="SOLO INTRODUCIR A, B , C.&#10;ALEXSAM 2005.&#10;" sqref="E11 E22:E23 E19:E20 E16:E17 E13:E14">
      <formula1>1</formula1>
    </dataValidation>
    <dataValidation type="textLength" operator="equal" allowBlank="1" showInputMessage="1" showErrorMessage="1" promptTitle="INSTRUCCIÓN!!!!!" prompt="EN ESTA CELDA INDIQUE LOS DIAS QUE SE INCAPACITO POR CUALQUIER CAUSA EL TRABAJADOR, YA QUE TIENE UN CALCULO ESPECIAL ESTA INCIDENCIA.&#10;A.S.M." errorTitle="INSTRUCCIÓN!!!!" error="SOLO INTRODUCIR A, B , C.&#10;ALEXSAM 2005.&#10;" sqref="F11 F22:F23 F19:F20 F16:F17 F13:F14">
      <formula1>1</formula1>
    </dataValidation>
    <dataValidation type="custom" allowBlank="1" showInputMessage="1" showErrorMessage="1" sqref="AB10">
      <formula1>0</formula1>
    </dataValidation>
    <dataValidation allowBlank="1" showInputMessage="1" showErrorMessage="1" promptTitle="*** BIENVENIDO ***" prompt="PROGRAMA DE CALCULO DE CUOTAS IMSS-INFONAVIT &#10;ALEXSAM 2005.&#10;D.A.R." sqref="C7:C10"/>
    <dataValidation type="textLength" allowBlank="1" showInputMessage="1" showErrorMessage="1" errorTitle="ADVERTENCIA!!!" error="EL NUMERO DE IMSS SE COMPONE DE 1O NUMEROS Y EL DIGITO VERIFICADOR, TOTALIZANDO 11.&#10;EJEP.: 9294784652-1&#10;A.S.M." sqref="B11:B17">
      <formula1>11</formula1>
      <formula2>12</formula2>
    </dataValidation>
  </dataValidations>
  <printOptions/>
  <pageMargins left="0.3" right="0.31" top="0.4330708661417323" bottom="1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Abel Campos González</dc:creator>
  <cp:keywords/>
  <dc:description/>
  <cp:lastModifiedBy>Administrador</cp:lastModifiedBy>
  <cp:lastPrinted>2009-08-24T16:44:44Z</cp:lastPrinted>
  <dcterms:created xsi:type="dcterms:W3CDTF">2002-05-24T23:25:13Z</dcterms:created>
  <dcterms:modified xsi:type="dcterms:W3CDTF">2013-10-01T17:48:42Z</dcterms:modified>
  <cp:category/>
  <cp:version/>
  <cp:contentType/>
  <cp:contentStatus/>
</cp:coreProperties>
</file>